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Y20\"/>
    </mc:Choice>
  </mc:AlternateContent>
  <xr:revisionPtr revIDLastSave="0" documentId="13_ncr:1_{D32AF8E6-91F2-4BBD-BAC9-8E382FF51B8B}" xr6:coauthVersionLast="43" xr6:coauthVersionMax="43" xr10:uidLastSave="{00000000-0000-0000-0000-000000000000}"/>
  <bookViews>
    <workbookView xWindow="-108" yWindow="-108" windowWidth="23256" windowHeight="12576" xr2:uid="{22F39191-B820-4C1C-89B9-B389060049D4}"/>
  </bookViews>
  <sheets>
    <sheet name="Top Sheet" sheetId="2" r:id="rId1"/>
    <sheet name="Budget Report FY2020" sheetId="3" r:id="rId2"/>
  </sheets>
  <externalReferences>
    <externalReference r:id="rId3"/>
  </externalReferences>
  <definedNames>
    <definedName name="_Fill" hidden="1">'[1]FY 2008'!#REF!</definedName>
    <definedName name="AGING">'[1]FY 2008'!$I$297</definedName>
    <definedName name="ARTS">'[1]FY 2008'!$I$352</definedName>
    <definedName name="BMVOC">'[1]FY 2008'!$I$388</definedName>
    <definedName name="BUILDINS">'[1]FY 2008'!$I$186</definedName>
    <definedName name="CEMETARY">'[1]FY 2008'!$I$269</definedName>
    <definedName name="CENMASS">'[1]FY 2008'!$I$391</definedName>
    <definedName name="CIVIL">'[1]FY 2008'!$I$204</definedName>
    <definedName name="CULTURE">'[1]FY 2008'!$I$354</definedName>
    <definedName name="DEBT">'[1]FY 2008'!$I$379</definedName>
    <definedName name="DISABILITY">'[1]FY 2008'!$I$304</definedName>
    <definedName name="DOG">'[1]FY 2008'!$I$210</definedName>
    <definedName name="DUTCH">'[1]FY 2008'!$I$223</definedName>
    <definedName name="ELDERLY">'[1]FY 2008'!$I$19</definedName>
    <definedName name="ELECTRICAL">'[1]FY 2008'!$I$194</definedName>
    <definedName name="FIRE">'[1]FY 2008'!$I$175</definedName>
    <definedName name="FOREST">'[1]FY 2008'!$I$217</definedName>
    <definedName name="GENGOVT">'[1]FY 2008'!$I$130</definedName>
    <definedName name="HIGHWAY">'[1]FY 2008'!$I$253</definedName>
    <definedName name="HISTORY">'[1]FY 2008'!$I$346</definedName>
    <definedName name="HUMSERV">'[1]FY 2008'!$I$306</definedName>
    <definedName name="INSURANCE">'[1]FY 2008'!$I$412</definedName>
    <definedName name="INTERGOV">'[1]FY 2008'!$I$399</definedName>
    <definedName name="LIABILITY">'[1]FY 2008'!$I$420</definedName>
    <definedName name="LIBRARY">'[1]FY 2008'!$I$324</definedName>
    <definedName name="MEDICARE">'[1]FY 2008'!$I$409</definedName>
    <definedName name="MEMORIAL">'[1]FY 2008'!$I$349</definedName>
    <definedName name="MISC">'[1]FY 2008'!$I$424</definedName>
    <definedName name="NEWMAN">'[1]FY 2008'!#REF!</definedName>
    <definedName name="PARK">'[1]FY 2008'!$I$337</definedName>
    <definedName name="PEST">'[1]FY 2008'!$I$220</definedName>
    <definedName name="PLUMB">'[1]FY 2008'!$I$190</definedName>
    <definedName name="POLICE">'[1]FY 2008'!$I$149</definedName>
    <definedName name="POLREV">'[1]FY 2008'!#REF!</definedName>
    <definedName name="PRIOR">'[1]FY 2008'!$I$422</definedName>
    <definedName name="PUBSAFE">'[1]FY 2008'!$I$225</definedName>
    <definedName name="PUBWORK">'[1]FY 2008'!$I$271</definedName>
    <definedName name="REDSHOP">'[1]FY 2008'!$I$341</definedName>
    <definedName name="RESFUND">'[1]FY 2008'!$I$38</definedName>
    <definedName name="RETIRE">'[1]FY 2008'!$I$385</definedName>
    <definedName name="RETIRE1">'[1]FY 2008'!$I$403</definedName>
    <definedName name="SCHOOL">'[1]FY 2008'!$I$229</definedName>
    <definedName name="SEWER">'[1]FY 2008'!$I$485</definedName>
    <definedName name="SEWERBOND">'[1]FY 2008'!$I$489</definedName>
    <definedName name="SNOWREM">'[1]FY 2008'!$I$262</definedName>
    <definedName name="STABILIZE">'[1]FY 2008'!$I$393</definedName>
    <definedName name="STREET">'[1]FY 2008'!$I$265</definedName>
    <definedName name="UNEMPLOY">'[1]FY 2008'!$I$406</definedName>
    <definedName name="VETERANS">'[1]FY 2008'!$I$301</definedName>
    <definedName name="WATER">'[1]FY 2008'!$I$456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3" l="1"/>
  <c r="D113" i="3" s="1"/>
  <c r="E8" i="3"/>
  <c r="E113" i="3" s="1"/>
  <c r="F18" i="3"/>
  <c r="D19" i="3"/>
  <c r="E19" i="3"/>
  <c r="F19" i="3"/>
  <c r="E24" i="3"/>
  <c r="D29" i="3"/>
  <c r="D34" i="3"/>
  <c r="E34" i="3"/>
  <c r="F34" i="3"/>
  <c r="F33" i="3" s="1"/>
  <c r="D44" i="3"/>
  <c r="E44" i="3"/>
  <c r="F44" i="3" s="1"/>
  <c r="F43" i="3" s="1"/>
  <c r="D46" i="3"/>
  <c r="E46" i="3"/>
  <c r="D53" i="3"/>
  <c r="E53" i="3"/>
  <c r="F53" i="3" s="1"/>
  <c r="F52" i="3" s="1"/>
  <c r="D57" i="3"/>
  <c r="F56" i="3" s="1"/>
  <c r="E57" i="3"/>
  <c r="D60" i="3"/>
  <c r="E60" i="3"/>
  <c r="F63" i="3"/>
  <c r="D69" i="3"/>
  <c r="E69" i="3"/>
  <c r="F69" i="3" s="1"/>
  <c r="F68" i="3" s="1"/>
  <c r="D74" i="3"/>
  <c r="E74" i="3"/>
  <c r="D79" i="3"/>
  <c r="E79" i="3"/>
  <c r="D83" i="3"/>
  <c r="E83" i="3"/>
  <c r="D86" i="3"/>
  <c r="E86" i="3"/>
  <c r="D92" i="3"/>
  <c r="E92" i="3"/>
  <c r="D97" i="3"/>
  <c r="E97" i="3"/>
  <c r="D102" i="3"/>
  <c r="E102" i="3"/>
  <c r="D111" i="3"/>
  <c r="E111" i="3"/>
  <c r="F111" i="3" s="1"/>
  <c r="F110" i="3" s="1"/>
  <c r="D123" i="3"/>
  <c r="E123" i="3"/>
  <c r="F123" i="3" s="1"/>
  <c r="F122" i="3" s="1"/>
  <c r="D129" i="3"/>
  <c r="D201" i="3" s="1"/>
  <c r="E129" i="3"/>
  <c r="F129" i="3" s="1"/>
  <c r="F128" i="3" s="1"/>
  <c r="F143" i="3"/>
  <c r="D144" i="3"/>
  <c r="E144" i="3"/>
  <c r="F144" i="3"/>
  <c r="D147" i="3"/>
  <c r="E147" i="3"/>
  <c r="F147" i="3" s="1"/>
  <c r="F146" i="3" s="1"/>
  <c r="E161" i="3"/>
  <c r="F161" i="3" s="1"/>
  <c r="F160" i="3" s="1"/>
  <c r="D167" i="3"/>
  <c r="F167" i="3" s="1"/>
  <c r="F166" i="3" s="1"/>
  <c r="E167" i="3"/>
  <c r="D171" i="3"/>
  <c r="E171" i="3"/>
  <c r="D175" i="3"/>
  <c r="E175" i="3"/>
  <c r="E178" i="3"/>
  <c r="D183" i="3"/>
  <c r="E183" i="3"/>
  <c r="D188" i="3"/>
  <c r="E188" i="3"/>
  <c r="D195" i="3"/>
  <c r="E195" i="3"/>
  <c r="D199" i="3"/>
  <c r="E199" i="3"/>
  <c r="D204" i="3"/>
  <c r="E204" i="3"/>
  <c r="E206" i="3" s="1"/>
  <c r="F204" i="3"/>
  <c r="F206" i="3" s="1"/>
  <c r="F205" i="3" s="1"/>
  <c r="D206" i="3"/>
  <c r="D221" i="3"/>
  <c r="E221" i="3"/>
  <c r="F221" i="3"/>
  <c r="F220" i="3" s="1"/>
  <c r="D228" i="3"/>
  <c r="E228" i="3"/>
  <c r="D231" i="3"/>
  <c r="D304" i="3" s="1"/>
  <c r="E231" i="3"/>
  <c r="E304" i="3" s="1"/>
  <c r="E258" i="3"/>
  <c r="F258" i="3" s="1"/>
  <c r="F257" i="3" s="1"/>
  <c r="E298" i="3"/>
  <c r="F298" i="3"/>
  <c r="F297" i="3" s="1"/>
  <c r="E302" i="3"/>
  <c r="D317" i="3"/>
  <c r="D338" i="3" s="1"/>
  <c r="E317" i="3"/>
  <c r="F317" i="3" s="1"/>
  <c r="F316" i="3" s="1"/>
  <c r="D329" i="3"/>
  <c r="E329" i="3"/>
  <c r="F329" i="3"/>
  <c r="F328" i="3" s="1"/>
  <c r="E333" i="3"/>
  <c r="E336" i="3"/>
  <c r="F351" i="3"/>
  <c r="D352" i="3"/>
  <c r="E352" i="3"/>
  <c r="F352" i="3"/>
  <c r="D365" i="3"/>
  <c r="E365" i="3"/>
  <c r="F365" i="3" s="1"/>
  <c r="F364" i="3" s="1"/>
  <c r="D370" i="3"/>
  <c r="E370" i="3"/>
  <c r="F370" i="3"/>
  <c r="D373" i="3"/>
  <c r="D384" i="3" s="1"/>
  <c r="E373" i="3"/>
  <c r="D379" i="3"/>
  <c r="E379" i="3"/>
  <c r="D382" i="3"/>
  <c r="E382" i="3"/>
  <c r="D399" i="3"/>
  <c r="D421" i="3" s="1"/>
  <c r="E399" i="3"/>
  <c r="E421" i="3" s="1"/>
  <c r="F421" i="3" s="1"/>
  <c r="F420" i="3" s="1"/>
  <c r="F399" i="3"/>
  <c r="F398" i="3" s="1"/>
  <c r="D414" i="3"/>
  <c r="E414" i="3"/>
  <c r="F414" i="3"/>
  <c r="F413" i="3" s="1"/>
  <c r="E419" i="3"/>
  <c r="E425" i="3"/>
  <c r="F425" i="3" s="1"/>
  <c r="F424" i="3" s="1"/>
  <c r="D428" i="3"/>
  <c r="E428" i="3"/>
  <c r="F428" i="3"/>
  <c r="F427" i="3" s="1"/>
  <c r="D431" i="3"/>
  <c r="D439" i="3" s="1"/>
  <c r="E431" i="3"/>
  <c r="D434" i="3"/>
  <c r="E434" i="3"/>
  <c r="D437" i="3"/>
  <c r="E437" i="3"/>
  <c r="D442" i="3"/>
  <c r="E442" i="3"/>
  <c r="E474" i="3" s="1"/>
  <c r="F474" i="3" s="1"/>
  <c r="F473" i="3" s="1"/>
  <c r="D446" i="3"/>
  <c r="E446" i="3"/>
  <c r="D449" i="3"/>
  <c r="E449" i="3"/>
  <c r="D452" i="3"/>
  <c r="F452" i="3" s="1"/>
  <c r="F451" i="3" s="1"/>
  <c r="E452" i="3"/>
  <c r="D455" i="3"/>
  <c r="E455" i="3"/>
  <c r="F455" i="3"/>
  <c r="F454" i="3" s="1"/>
  <c r="D468" i="3"/>
  <c r="E468" i="3"/>
  <c r="D472" i="3"/>
  <c r="E472" i="3"/>
  <c r="D474" i="3"/>
  <c r="D500" i="3"/>
  <c r="E500" i="3"/>
  <c r="F500" i="3"/>
  <c r="F499" i="3" s="1"/>
  <c r="D503" i="3"/>
  <c r="D509" i="3" s="1"/>
  <c r="E503" i="3"/>
  <c r="E509" i="3" s="1"/>
  <c r="D504" i="3"/>
  <c r="E504" i="3"/>
  <c r="D505" i="3"/>
  <c r="E505" i="3"/>
  <c r="D506" i="3"/>
  <c r="E506" i="3"/>
  <c r="D519" i="3"/>
  <c r="E519" i="3"/>
  <c r="F519" i="3"/>
  <c r="F518" i="3" s="1"/>
  <c r="D525" i="3"/>
  <c r="D526" i="3"/>
  <c r="E526" i="3"/>
  <c r="D527" i="3"/>
  <c r="D531" i="3"/>
  <c r="E531" i="3"/>
  <c r="D533" i="3"/>
  <c r="E533" i="3"/>
  <c r="E539" i="3"/>
  <c r="E541" i="3"/>
  <c r="F113" i="3" l="1"/>
  <c r="F112" i="3" s="1"/>
  <c r="F509" i="3"/>
  <c r="F508" i="3" s="1"/>
  <c r="E532" i="3"/>
  <c r="E534" i="3" s="1"/>
  <c r="D521" i="3"/>
  <c r="D534" i="3" s="1"/>
  <c r="D532" i="3"/>
  <c r="D523" i="3"/>
  <c r="D529" i="3" s="1"/>
  <c r="E521" i="3"/>
  <c r="F521" i="3" s="1"/>
  <c r="F520" i="3" s="1"/>
  <c r="F304" i="3"/>
  <c r="F303" i="3" s="1"/>
  <c r="F431" i="3"/>
  <c r="F430" i="3" s="1"/>
  <c r="E525" i="3"/>
  <c r="E527" i="3" s="1"/>
  <c r="E384" i="3"/>
  <c r="F384" i="3" s="1"/>
  <c r="F383" i="3" s="1"/>
  <c r="E338" i="3"/>
  <c r="F338" i="3" s="1"/>
  <c r="F337" i="3" s="1"/>
  <c r="E201" i="3"/>
  <c r="F201" i="3" s="1"/>
  <c r="F200" i="3" s="1"/>
  <c r="E439" i="3"/>
  <c r="F439" i="3" s="1"/>
  <c r="F438" i="3" s="1"/>
  <c r="K77" i="2"/>
  <c r="J77" i="2"/>
  <c r="K72" i="2"/>
  <c r="J72" i="2"/>
  <c r="J25" i="2"/>
  <c r="J26" i="2" s="1"/>
  <c r="J10" i="2"/>
  <c r="K10" i="2"/>
  <c r="K9" i="2"/>
  <c r="J9" i="2"/>
  <c r="K6" i="2"/>
  <c r="J6" i="2"/>
  <c r="J7" i="2" s="1"/>
  <c r="G61" i="2"/>
  <c r="F62" i="2"/>
  <c r="F61" i="2"/>
  <c r="G5" i="2"/>
  <c r="C32" i="2"/>
  <c r="G20" i="2"/>
  <c r="G19" i="2"/>
  <c r="F13" i="2"/>
  <c r="G12" i="2"/>
  <c r="F12" i="2"/>
  <c r="G8" i="2"/>
  <c r="G10" i="2" s="1"/>
  <c r="F8" i="2"/>
  <c r="F10" i="2" s="1"/>
  <c r="G4" i="2"/>
  <c r="F5" i="2"/>
  <c r="F4" i="2"/>
  <c r="B45" i="2"/>
  <c r="B46" i="2" s="1"/>
  <c r="B41" i="2"/>
  <c r="B42" i="2" s="1"/>
  <c r="C12" i="2"/>
  <c r="C22" i="2"/>
  <c r="C31" i="2"/>
  <c r="B32" i="2"/>
  <c r="B31" i="2"/>
  <c r="B28" i="2"/>
  <c r="B29" i="2" s="1"/>
  <c r="B23" i="2"/>
  <c r="B22" i="2"/>
  <c r="B13" i="2"/>
  <c r="B12" i="2"/>
  <c r="G73" i="2"/>
  <c r="F73" i="2"/>
  <c r="C68" i="2"/>
  <c r="B68" i="2"/>
  <c r="F67" i="2"/>
  <c r="G66" i="2"/>
  <c r="G67" i="2" s="1"/>
  <c r="C63" i="2"/>
  <c r="B63" i="2"/>
  <c r="B58" i="2"/>
  <c r="C57" i="2"/>
  <c r="C58" i="2" s="1"/>
  <c r="K56" i="2"/>
  <c r="J56" i="2"/>
  <c r="C54" i="2"/>
  <c r="B54" i="2"/>
  <c r="J50" i="2"/>
  <c r="B50" i="2"/>
  <c r="C49" i="2"/>
  <c r="C50" i="2" s="1"/>
  <c r="K48" i="2"/>
  <c r="K46" i="2"/>
  <c r="F46" i="2"/>
  <c r="G45" i="2"/>
  <c r="G46" i="2" s="1"/>
  <c r="C45" i="2"/>
  <c r="C46" i="2" s="1"/>
  <c r="F42" i="2"/>
  <c r="G41" i="2"/>
  <c r="G42" i="2" s="1"/>
  <c r="C41" i="2"/>
  <c r="C42" i="2" s="1"/>
  <c r="K36" i="2"/>
  <c r="J36" i="2"/>
  <c r="G36" i="2"/>
  <c r="F36" i="2"/>
  <c r="G33" i="2"/>
  <c r="F33" i="2"/>
  <c r="J31" i="2"/>
  <c r="K30" i="2"/>
  <c r="K31" i="2" s="1"/>
  <c r="G29" i="2"/>
  <c r="F29" i="2"/>
  <c r="C28" i="2"/>
  <c r="C29" i="2" s="1"/>
  <c r="K25" i="2"/>
  <c r="K26" i="2" s="1"/>
  <c r="F25" i="2"/>
  <c r="G24" i="2"/>
  <c r="G23" i="2"/>
  <c r="C23" i="2"/>
  <c r="F21" i="2"/>
  <c r="C18" i="2"/>
  <c r="B18" i="2"/>
  <c r="G17" i="2"/>
  <c r="F17" i="2"/>
  <c r="K15" i="2"/>
  <c r="J15" i="2"/>
  <c r="C13" i="2"/>
  <c r="C10" i="2"/>
  <c r="B10" i="2"/>
  <c r="K7" i="2"/>
  <c r="C6" i="2"/>
  <c r="B6" i="2"/>
  <c r="E523" i="3" l="1"/>
  <c r="F63" i="2"/>
  <c r="F75" i="2" s="1"/>
  <c r="J11" i="2"/>
  <c r="J19" i="2" s="1"/>
  <c r="F14" i="2"/>
  <c r="F6" i="2"/>
  <c r="B14" i="2"/>
  <c r="B33" i="2"/>
  <c r="B24" i="2"/>
  <c r="B74" i="2" s="1"/>
  <c r="J42" i="2"/>
  <c r="G21" i="2"/>
  <c r="K50" i="2"/>
  <c r="C33" i="2"/>
  <c r="C14" i="2"/>
  <c r="G25" i="2"/>
  <c r="G6" i="2"/>
  <c r="C24" i="2"/>
  <c r="G63" i="2"/>
  <c r="G75" i="2" s="1"/>
  <c r="K11" i="2"/>
  <c r="K19" i="2" s="1"/>
  <c r="K42" i="2"/>
  <c r="G14" i="2"/>
  <c r="E536" i="3" l="1"/>
  <c r="E543" i="3" s="1"/>
  <c r="E529" i="3"/>
  <c r="F529" i="3" s="1"/>
  <c r="F528" i="3" s="1"/>
  <c r="F523" i="3"/>
  <c r="F522" i="3" s="1"/>
  <c r="F52" i="2"/>
  <c r="C74" i="2"/>
  <c r="G52" i="2"/>
</calcChain>
</file>

<file path=xl/sharedStrings.xml><?xml version="1.0" encoding="utf-8"?>
<sst xmlns="http://schemas.openxmlformats.org/spreadsheetml/2006/main" count="620" uniqueCount="444">
  <si>
    <t>SALARIES ELECTED OFFICALS</t>
  </si>
  <si>
    <t>OFFICE</t>
  </si>
  <si>
    <t>114 - TOWN MODERATOR</t>
  </si>
  <si>
    <t>PROFESSIONAL AND TECHNICAL</t>
  </si>
  <si>
    <t>REPORTS</t>
  </si>
  <si>
    <t>IN STATE TRAVEL</t>
  </si>
  <si>
    <t>122 - SELECTMEN</t>
  </si>
  <si>
    <t>SALARIES &amp; WAGES PERMANENT</t>
  </si>
  <si>
    <t>SALARY &amp; WAGES STAFF</t>
  </si>
  <si>
    <t>OTHER PERSONAL SERVICES</t>
  </si>
  <si>
    <t>TELEPHONE</t>
  </si>
  <si>
    <t>POSTAGE</t>
  </si>
  <si>
    <t>OFFICE SUPPLIES</t>
  </si>
  <si>
    <t>123 - ADMINISTRATOR</t>
  </si>
  <si>
    <t>SALARY APPOINTED OFFICALS</t>
  </si>
  <si>
    <t>131 - FINANCE COMMITTEE</t>
  </si>
  <si>
    <t>RESERVE FUND</t>
  </si>
  <si>
    <t>132 - RESERVE FUND</t>
  </si>
  <si>
    <t>SALARY &amp; WAGES PERMANENT</t>
  </si>
  <si>
    <t>PROFESSIONAL &amp; TECHNICAL</t>
  </si>
  <si>
    <t>ANNUAL TOWN AUDIT</t>
  </si>
  <si>
    <t>135 - ACCOUNTANT</t>
  </si>
  <si>
    <t>SALARIES APPOINTED OFFICIALS</t>
  </si>
  <si>
    <t>REPAIRS AND MAINTENANCE</t>
  </si>
  <si>
    <t>PROFESSIONAL AND TECHNICAL (Res. Appraisals)</t>
  </si>
  <si>
    <t>DEEDS</t>
  </si>
  <si>
    <t>COMPUTERS</t>
  </si>
  <si>
    <t>MAP UPDATING</t>
  </si>
  <si>
    <t>141 - ASSESSORS</t>
  </si>
  <si>
    <t>SALARIES &amp; WAGES STAFF</t>
  </si>
  <si>
    <t>BANK SERVICE FEES</t>
  </si>
  <si>
    <t>PAYROLL SERVICE</t>
  </si>
  <si>
    <t>TAX BILLS</t>
  </si>
  <si>
    <t>145 - TREASURER/COLLECTOR</t>
  </si>
  <si>
    <t>151 - TOWN COUNSEL</t>
  </si>
  <si>
    <t>CABLE TV COMMITTEE</t>
  </si>
  <si>
    <t xml:space="preserve">155 - CABLE TV COMMITTEE </t>
  </si>
  <si>
    <t>TAX TITLE</t>
  </si>
  <si>
    <t>158 - TAX TITLE</t>
  </si>
  <si>
    <t>OTHER SUPPLIES</t>
  </si>
  <si>
    <t>IN STATE TRAVEL/DUES</t>
  </si>
  <si>
    <t>161 - TOWN CLERK</t>
  </si>
  <si>
    <t>POLICE DETAIL</t>
  </si>
  <si>
    <t>162 - ELECTIONS</t>
  </si>
  <si>
    <t>PROFESSIONAL &amp; TECHNICAL (Census exp.)</t>
  </si>
  <si>
    <t>163 - REGISTRATION</t>
  </si>
  <si>
    <t>SALARY &amp; WAGES</t>
  </si>
  <si>
    <t>166 - PARKING CLERK</t>
  </si>
  <si>
    <t>SALARY APPOINTED OFFICIALS</t>
  </si>
  <si>
    <t>COMMUNICATIONS/NOTICE</t>
  </si>
  <si>
    <t>OTHERWISE UNCLASSIFIED</t>
  </si>
  <si>
    <t>171 - CONSERVATION COMMITTEE</t>
  </si>
  <si>
    <t>SALARIES (minutes), PERMANENT</t>
  </si>
  <si>
    <t>SALARIES ELECTED OFFICIALS</t>
  </si>
  <si>
    <t>OTHER EXPENSES</t>
  </si>
  <si>
    <t>MASTER PLAN</t>
  </si>
  <si>
    <t>175 - PLANNING BOARD</t>
  </si>
  <si>
    <t>SALARIES - APPOINTED OFFICIALS</t>
  </si>
  <si>
    <t>OTHER PERSONEL SERVICES (secretary)</t>
  </si>
  <si>
    <t>NOTICES</t>
  </si>
  <si>
    <t>176 - ZONING BOARD</t>
  </si>
  <si>
    <t>MAINTAINENCE</t>
  </si>
  <si>
    <t>SOFTWARE (contracts)</t>
  </si>
  <si>
    <t>SUPPLIES</t>
  </si>
  <si>
    <t>191 - COMPUTER</t>
  </si>
  <si>
    <t>ENERGY ELECTRIC</t>
  </si>
  <si>
    <t>ENERGY HEAT FUEL</t>
  </si>
  <si>
    <t>SUPPLIES &amp; REPAIRS/MAINT.</t>
  </si>
  <si>
    <t>BUILDING REPAIRS</t>
  </si>
  <si>
    <t>WATER &amp; SEWER ASSESSMENT</t>
  </si>
  <si>
    <t>192 - PUBLIC BLD - ALL</t>
  </si>
  <si>
    <t>100 - GENERAL GOVERNMENT</t>
  </si>
  <si>
    <t>ADDITIONAL GROSS, OVERTIME</t>
  </si>
  <si>
    <t>BUILDING MAINTENANCE</t>
  </si>
  <si>
    <t>VEHICULAR (Maintenace, fuel, lease)</t>
  </si>
  <si>
    <t>ADDITIONAL EQUIPMENT</t>
  </si>
  <si>
    <t>210 - POLICE</t>
  </si>
  <si>
    <t>DISPATCH SALARIES</t>
  </si>
  <si>
    <t>DISPATCH OVERTIME</t>
  </si>
  <si>
    <t>E 911 DISPATCHERS</t>
  </si>
  <si>
    <t>Dispatch Expense</t>
  </si>
  <si>
    <t>215 - DISPATCH</t>
  </si>
  <si>
    <t>SALARY &amp; WAGES TEMPORARY</t>
  </si>
  <si>
    <t>OVERTIME</t>
  </si>
  <si>
    <t>FULL TIME RETAINERS (NEW  FY02)</t>
  </si>
  <si>
    <t>PERSONAL SERVICES (Computer &amp; Software)</t>
  </si>
  <si>
    <t>REPAIRS AND MAINTENANCE (vehicles)</t>
  </si>
  <si>
    <t>PROF. &amp; TECH.(Training, physicals, etc)</t>
  </si>
  <si>
    <t>BUILDING REPAIRS/MAINTENANCE</t>
  </si>
  <si>
    <t>OFFICE SUPPLIES &amp; UNIFORMS</t>
  </si>
  <si>
    <t>SCBA REPLACEMENT AND UPGRADE</t>
  </si>
  <si>
    <t>TRAVEL, DUES</t>
  </si>
  <si>
    <t>NEW EQUIPMENT</t>
  </si>
  <si>
    <t>ALARM SERVICES</t>
  </si>
  <si>
    <t>220 - FIRE</t>
  </si>
  <si>
    <t>POLICE DETAIL SALARIES</t>
  </si>
  <si>
    <t>225 - TOWN POLICE DETAIL</t>
  </si>
  <si>
    <t>AMBULANCE SALARIES</t>
  </si>
  <si>
    <t>AMBULANCE TEMP SALARIES</t>
  </si>
  <si>
    <t>AMBUL. OVER TIME</t>
  </si>
  <si>
    <t>AMBUL. RETAINERS</t>
  </si>
  <si>
    <t>DUTY SHIFT/acct offset</t>
  </si>
  <si>
    <t>AMBULANCE REPAIRS &amp; MAIN.</t>
  </si>
  <si>
    <t>INDIRECT COSTS - COUNTY RETIREMENT</t>
  </si>
  <si>
    <t>INDIRECT COSTS - HEALTH INSURANCE</t>
  </si>
  <si>
    <t>INDIRECT COSTS - LIABILITY INSURANCE</t>
  </si>
  <si>
    <t>INDIRECT COST - WORKER'S COMP.</t>
  </si>
  <si>
    <t>AMBULANCE OTHER (fuel, training)</t>
  </si>
  <si>
    <t>231 - AMBULANCE</t>
  </si>
  <si>
    <t>SALARY &amp; WAGES - PART TIME</t>
  </si>
  <si>
    <t>EXPENSES (DUES, TRAVEL,SEMINARS,ETC.)</t>
  </si>
  <si>
    <t>241 - BUILDING INSPECTOR</t>
  </si>
  <si>
    <t>In state travel /dues</t>
  </si>
  <si>
    <t>243 - PLUMBING INSPECTOR</t>
  </si>
  <si>
    <t>In state travel/dues</t>
  </si>
  <si>
    <t>245 - ELECTRICAL INSPECTOR</t>
  </si>
  <si>
    <t>SALARIES</t>
  </si>
  <si>
    <t>247 - WEIGHTS &amp; MEASURES</t>
  </si>
  <si>
    <t>REPAIRS</t>
  </si>
  <si>
    <t>EXPENSES</t>
  </si>
  <si>
    <t>291 - CIVIL DEFENSE (EMS)</t>
  </si>
  <si>
    <t>BUILDING REPAIRS &amp; MAINTENANCE</t>
  </si>
  <si>
    <t>FUEL (animal control van)</t>
  </si>
  <si>
    <t>292 - DOG OFFICER</t>
  </si>
  <si>
    <t>GROUNDSKEEPING</t>
  </si>
  <si>
    <t>294 - FORESTRY-TREE PLANTING</t>
  </si>
  <si>
    <t>OTHER PERSONAL SERVICES (PEST CONTROL)</t>
  </si>
  <si>
    <t>OTHER PERSONAL SERVICES (DUTCH ELM)</t>
  </si>
  <si>
    <t xml:space="preserve">295 - FORESTRY-DUTCH ELM </t>
  </si>
  <si>
    <t>200 - PUBLIC SAFETY</t>
  </si>
  <si>
    <t>SCHOOL DEPARTMENT</t>
  </si>
  <si>
    <t>300 - SCHOOL DEPARTMENT</t>
  </si>
  <si>
    <t>300 - EDUCATION</t>
  </si>
  <si>
    <t>BEEPER</t>
  </si>
  <si>
    <t>OTHER PERSONEL SERVICES (sec. minutes)</t>
  </si>
  <si>
    <t>FUEL DISPENSER EQUIP. REPAIRS</t>
  </si>
  <si>
    <t>OTHER PROPERTY-RELATED SERVICES (Utilities)</t>
  </si>
  <si>
    <t>TRAFFIC SIGNS (change stop signs, $7k) (start changing street signs, 18k - no free cash)</t>
  </si>
  <si>
    <t>OTHER PURCHASED SERVICES (Uniforms)</t>
  </si>
  <si>
    <t>IN STATE TRAVEL (dues, seminars)</t>
  </si>
  <si>
    <t>BUILDING IMPROVEDMENTS</t>
  </si>
  <si>
    <t>CAPITAL PROJECTS</t>
  </si>
  <si>
    <t>422 - HIGHWAY</t>
  </si>
  <si>
    <t>SNOW REMOVAL OVERTIME</t>
  </si>
  <si>
    <t>FUEL</t>
  </si>
  <si>
    <t>SNOW RELATED MAINTAINENCE</t>
  </si>
  <si>
    <t>CONTRACTED SNOW REMOVAL</t>
  </si>
  <si>
    <t>SAND &amp; SALT</t>
  </si>
  <si>
    <t>423 - SNOW REMOVAL</t>
  </si>
  <si>
    <t>ENERGY</t>
  </si>
  <si>
    <t>424 - STREET LIGHTING</t>
  </si>
  <si>
    <t>INDIRECT COSTS -  ACCOUNTANT</t>
  </si>
  <si>
    <t>INDIRECT COSTS - TREASURER</t>
  </si>
  <si>
    <t>PROFESSIONAL AND TECH. - TESTING</t>
  </si>
  <si>
    <t>TESTING/REGULATIONS</t>
  </si>
  <si>
    <t>LEGAL</t>
  </si>
  <si>
    <t>PHONE/OFFICE SUPPLIES</t>
  </si>
  <si>
    <t>COMMUNICATIONS/POSTAGE</t>
  </si>
  <si>
    <t>OTHER PURCHASED SERVICES</t>
  </si>
  <si>
    <t>COMPOSTING</t>
  </si>
  <si>
    <t>CHEMICALS</t>
  </si>
  <si>
    <t>VEHICLE EXPENSE</t>
  </si>
  <si>
    <t>INDIRECT COST - LIABILITY</t>
  </si>
  <si>
    <t>DEBT</t>
  </si>
  <si>
    <t>440 - SEWER</t>
  </si>
  <si>
    <t>TREAS/COLL &amp; ACCOUNTANT ASSESSMENT</t>
  </si>
  <si>
    <t>GREEN ST WELL</t>
  </si>
  <si>
    <t>PROF &amp; TECH</t>
  </si>
  <si>
    <t>TESTING &amp; REGULATIONS</t>
  </si>
  <si>
    <t>LEGAL - NEW 05</t>
  </si>
  <si>
    <t>COMMUNICATIONS/PHONE</t>
  </si>
  <si>
    <t>ENERGY (WATER PURCHASES)</t>
  </si>
  <si>
    <t>CHEMICAL</t>
  </si>
  <si>
    <t>REPAIRS &amp; MAINTENANCE</t>
  </si>
  <si>
    <t>VEHICULAR</t>
  </si>
  <si>
    <t>INDIRECT COST - LIABILITY INSURANCE</t>
  </si>
  <si>
    <t>PLANT (WELL FIELDS)</t>
  </si>
  <si>
    <t>REPAIRS &amp; MAINTENANCE - BLDG</t>
  </si>
  <si>
    <t>REPAIRS &amp; MAINTENANCE - GREENE ST</t>
  </si>
  <si>
    <t>REPAIRS &amp; MAINTENANCE - MOORE RD</t>
  </si>
  <si>
    <t>REPAIRS &amp; MAINTENANCE - MAINS</t>
  </si>
  <si>
    <t>REPAIRS &amp; MAINTENANCE - GATE BOX &amp; VALVES</t>
  </si>
  <si>
    <t>REPAIRS &amp; MAINTENANCE - SERVICE LINE REPAIR</t>
  </si>
  <si>
    <t>REPAIRS &amp; MAINTENANCE - HYDRANTS</t>
  </si>
  <si>
    <t>REPAIRS &amp; MAINTENANCE - IN HOUSE VALVES</t>
  </si>
  <si>
    <t>REPAIRS &amp; MAINTENANCE - METERS</t>
  </si>
  <si>
    <t>REPAIRS &amp; MAINTENANCE - MISCELLANEOUS</t>
  </si>
  <si>
    <t>CAPITAL RESERVE</t>
  </si>
  <si>
    <t>HEAT AND FUEL</t>
  </si>
  <si>
    <t>450 - WATER</t>
  </si>
  <si>
    <t>491 - CEMETERY</t>
  </si>
  <si>
    <t>400 - PUBLIC WORKS &amp; FACILITIES</t>
  </si>
  <si>
    <t>TESTING OF POND/WELLS WATER</t>
  </si>
  <si>
    <t>TRASH REMOVAL</t>
  </si>
  <si>
    <t>HAZARDOUS WASTE COLLECTION</t>
  </si>
  <si>
    <t>PRINTING</t>
  </si>
  <si>
    <t>511 - HEALTH OFFICER</t>
  </si>
  <si>
    <t>SALARIES &amp; WAGES PART TIME</t>
  </si>
  <si>
    <t>ENERGY / TELEPHONE/INTERNET</t>
  </si>
  <si>
    <t>COMPUTER TECH</t>
  </si>
  <si>
    <t>TRANSPORTATION</t>
  </si>
  <si>
    <t>FOOD AND DRINK</t>
  </si>
  <si>
    <t>NEWSLETTER</t>
  </si>
  <si>
    <t>541 - COUNCIL ON AGING</t>
  </si>
  <si>
    <t>VETERAN'S BENEFITS</t>
  </si>
  <si>
    <t>543 - VETERANS</t>
  </si>
  <si>
    <t>549 - COMMISSION ON DISABILITIES</t>
  </si>
  <si>
    <t>500 - HUMAN SERVICES</t>
  </si>
  <si>
    <t>PROFESSIONAL AND TECHNICAL (Bindings)</t>
  </si>
  <si>
    <t>EDUCATIONAL (Books)</t>
  </si>
  <si>
    <t>TRAVEL / DUES / SEMINARS</t>
  </si>
  <si>
    <t>EQUIPMENT</t>
  </si>
  <si>
    <t>610 - LIBRARY</t>
  </si>
  <si>
    <t>WEED CONTROL</t>
  </si>
  <si>
    <t>REPLACEMENT EQUIPMENT</t>
  </si>
  <si>
    <t>WATER (IRRIGATION)</t>
  </si>
  <si>
    <t>RESTROOMS</t>
  </si>
  <si>
    <t>650 - PARKS</t>
  </si>
  <si>
    <t>PRESERVATION ACTIVITIES</t>
  </si>
  <si>
    <t>MASS HIST. COMM GRANT APPL</t>
  </si>
  <si>
    <t>691 - HISTORICAL COMMITTEE</t>
  </si>
  <si>
    <t>RECREATIONAL</t>
  </si>
  <si>
    <t>692 - MEMORIAL DAY</t>
  </si>
  <si>
    <t>RED SHOP - Repairs</t>
  </si>
  <si>
    <t>693 - HIST COMM-RED SHOP</t>
  </si>
  <si>
    <t>RECREATIONAL (Band concerts)</t>
  </si>
  <si>
    <t>699 - CULTURAL COUNCIL</t>
  </si>
  <si>
    <t>600 - CULTURE &amp; RECREATION</t>
  </si>
  <si>
    <t>LADDER TRUCK</t>
  </si>
  <si>
    <t>STORM WATER (GIS)</t>
  </si>
  <si>
    <t>751 - INTEREST ON LONG TERM DEBT</t>
  </si>
  <si>
    <t>SHORT TERM ISSUANCE COSTS-WATER</t>
  </si>
  <si>
    <t>SHORT TERM ISSUANCE COSTS-MEM SCHOOL</t>
  </si>
  <si>
    <t>SHORT TERM INT: TOWN HALL</t>
  </si>
  <si>
    <t>752 - INTEREST ON SHORT TERM DEBT</t>
  </si>
  <si>
    <t>700 - DEBT SERVICE</t>
  </si>
  <si>
    <t>COUNTY RETIREMENT ASSESSMENT</t>
  </si>
  <si>
    <t>COUNTY TAX ASSESSMENT</t>
  </si>
  <si>
    <t>830 - COUNTY ASSESSMENTS</t>
  </si>
  <si>
    <t>OPERATIONS + CAP ITEMS</t>
  </si>
  <si>
    <t>845 - BLACKSTONE VLY REG. SCHOOL DIST.</t>
  </si>
  <si>
    <t>DUES &amp; SUBSCRIPTIONS</t>
  </si>
  <si>
    <t>847 - CENTRAL MASS.REG.PLANNING DIST.</t>
  </si>
  <si>
    <t>STABILIZATION FUND DEPOSIT</t>
  </si>
  <si>
    <t>850 - STABILIZATION FUND DEPOSIT</t>
  </si>
  <si>
    <t xml:space="preserve">852 - TOWN HALL RAMP </t>
  </si>
  <si>
    <t>800 - INTERGOVERNMENTAL</t>
  </si>
  <si>
    <t>RETIREMENT</t>
  </si>
  <si>
    <t>911 - RETIREMENT</t>
  </si>
  <si>
    <t>WORKERS COMP PREMIUMS</t>
  </si>
  <si>
    <t>POLICE FIRE</t>
  </si>
  <si>
    <t>912 - WORKERS COMPENSATION PREMIUMS</t>
  </si>
  <si>
    <t>FRINGE BENEFITS - EMPLOYEES</t>
  </si>
  <si>
    <t>913 - UNEMPLOYMENT COMPENSATION</t>
  </si>
  <si>
    <t xml:space="preserve">914 - MEDICARE  </t>
  </si>
  <si>
    <t>INSURANCE PREMIUMS</t>
  </si>
  <si>
    <t>915 - HEALTH AND LIFE INSURANCE PREMIUMS</t>
  </si>
  <si>
    <t>OVERLAY RESERVE FOR TAX ABATEMENTS</t>
  </si>
  <si>
    <t>CHERRY SHEET CHARGES</t>
  </si>
  <si>
    <t>OVERLAY DEFICIT OF PRIOR YEARS</t>
  </si>
  <si>
    <t>SCHOOL CHOICE SENDING TUITION</t>
  </si>
  <si>
    <t>CHERRY SHEET OFFSETS</t>
  </si>
  <si>
    <t>MILL ST BRIDGE PROJECT</t>
  </si>
  <si>
    <t>POLICE CHIEF SICK DAY BUY BACK (voted FY 06)</t>
  </si>
  <si>
    <t>LAURELWOOD AMBULANCE</t>
  </si>
  <si>
    <t>MEMORIAL SCHOOL ROOF</t>
  </si>
  <si>
    <t>Stodowski Police Injury</t>
  </si>
  <si>
    <t>940 - OTHER UNCLASSIFIED</t>
  </si>
  <si>
    <t>INSURANCE PREMIUMS (Bldg., Liab.)</t>
  </si>
  <si>
    <t>Bonds</t>
  </si>
  <si>
    <t>945 - LIABILITY INSURANCE</t>
  </si>
  <si>
    <t>900 - UNCLASSIFIED</t>
  </si>
  <si>
    <t>MOTOR VEHICLE EXCISE</t>
  </si>
  <si>
    <t>OTHER EXCISE</t>
  </si>
  <si>
    <t>PENALTIES AND INTEREST ON TAXES AND EXCISES</t>
  </si>
  <si>
    <t>PAYMENT IN LIEU OF TAXES (golf course)</t>
  </si>
  <si>
    <t>CHARGES FOR SERVICES - WATER (accountant &amp; treasurer)</t>
  </si>
  <si>
    <t>CHARGES FOR SERVICES - SEWER (accountant &amp; treasurer)</t>
  </si>
  <si>
    <t>CHARGES FOR SERVICES - HOSPITAL</t>
  </si>
  <si>
    <t>CHARGES FOR SERVICES - TRASH DISPOSAL</t>
  </si>
  <si>
    <t>OTHER CHARGES FOR SERVICES</t>
  </si>
  <si>
    <t>FEES</t>
  </si>
  <si>
    <t>RENTALS (town common diner)- Solar at WS dept</t>
  </si>
  <si>
    <t>DEPARTMENTAL REVENUE - SCHOOL</t>
  </si>
  <si>
    <t>DEPARTMENTAL REVENUE - LIBRARY (fines)</t>
  </si>
  <si>
    <t>DEPARTMENTAL REVENUE - CEMETERIES</t>
  </si>
  <si>
    <t>DEPARTMENTAL REVENUE - RECREATION</t>
  </si>
  <si>
    <t>OTHER DEPARTMENTAL REVENUE</t>
  </si>
  <si>
    <t>LICENSES AND PERMITS</t>
  </si>
  <si>
    <t>SPECIAL ASSESMENTS</t>
  </si>
  <si>
    <t>FINES AND FORFEITS</t>
  </si>
  <si>
    <t>INVESTMENT INCOME</t>
  </si>
  <si>
    <t>MICELLANEOUS RECURRING</t>
  </si>
  <si>
    <t>MICELLANEOUS NON-RECURRING-SALT SHED</t>
  </si>
  <si>
    <t>MICELLANEOUS NON-RECURRING-RR BRIDGE</t>
  </si>
  <si>
    <t>OTHER STATE REVENUES</t>
  </si>
  <si>
    <t>1100 - LOCAL RECEIPTS</t>
  </si>
  <si>
    <t>DEPARTMENTAL REVENUE - AMBULANCE</t>
  </si>
  <si>
    <t>WATER REVENUE</t>
  </si>
  <si>
    <t>SEWER REVENUE</t>
  </si>
  <si>
    <t>WATER BOND</t>
  </si>
  <si>
    <t>SEWER BOND</t>
  </si>
  <si>
    <t>CABLE TV REVENUES</t>
  </si>
  <si>
    <t>MUNICIPAL RELIEF - 05</t>
  </si>
  <si>
    <t>1200 - OFFSET RECEIPTS</t>
  </si>
  <si>
    <t>OVERLAY SURPLUS</t>
  </si>
  <si>
    <t>CHERRY SHEET RECEIPTS</t>
  </si>
  <si>
    <t>SCHOOL CHOICE OFFSET</t>
  </si>
  <si>
    <t>FROM BOND ISSUES/STABILIZATION</t>
  </si>
  <si>
    <t>FREE CASH</t>
  </si>
  <si>
    <t>HIGHWAY DUMP BODY ACCOUNT</t>
  </si>
  <si>
    <t>CONTRACTED SERVICES FROM WATER &amp; SEWER</t>
  </si>
  <si>
    <t>STATE REIMBURSEMENT</t>
  </si>
  <si>
    <t>1300 - OTHER REVENUE SOURCES</t>
  </si>
  <si>
    <t>1000 - RECEIPTS</t>
  </si>
  <si>
    <t>ALL EXPENDITURES</t>
  </si>
  <si>
    <t>WATER &amp; SEWER EXPENDITURES</t>
  </si>
  <si>
    <t>WATER &amp; SEWER BOND</t>
  </si>
  <si>
    <t>WATER &amp; SEWER ALL</t>
  </si>
  <si>
    <t>EXPENDITURES (w/o WATER &amp; SEWER)</t>
  </si>
  <si>
    <t>TOTAL LOCAL RECEIPTS</t>
  </si>
  <si>
    <t>TOTAL OFFSET RECEIPTS</t>
  </si>
  <si>
    <t>TOTAL OTHER REVENUE SOURCES</t>
  </si>
  <si>
    <t>TOTAL ESTIMATED RECEIPTS</t>
  </si>
  <si>
    <t>NET AMOUNT TO BE RAISED</t>
  </si>
  <si>
    <t>PRIOR YEAR LEVY PER DOR</t>
  </si>
  <si>
    <t>LEVY INCREASE 2.5%</t>
  </si>
  <si>
    <t>NEW GROWTH</t>
  </si>
  <si>
    <t>TOTAL TAX LEVY CAPACITY ESTIMATED</t>
  </si>
  <si>
    <t>(EXCESS)  AVAILABLE LEVY</t>
  </si>
  <si>
    <t>ACTUAL FY LEVY PER RECAP</t>
  </si>
  <si>
    <t>Available Levy per DOR</t>
  </si>
  <si>
    <t>Excess Capacity per DOR</t>
  </si>
  <si>
    <t>Levy Ceiling</t>
  </si>
  <si>
    <t>710 - PRINCIPAL OF DEBT</t>
  </si>
  <si>
    <t>JUNIOR/SENIOR HIGH SCHOOL</t>
  </si>
  <si>
    <t>JUNIOR SENIOR HIGH SCHOOL</t>
  </si>
  <si>
    <t>MEMORIAL SCHOOL ROOF $297,064</t>
  </si>
  <si>
    <t>FIRE STATION RENOVATION</t>
  </si>
  <si>
    <t>FREEDOM STREET BRIDGE</t>
  </si>
  <si>
    <t>MEMORIAL SCHOOL ROOF $205,199</t>
  </si>
  <si>
    <t>LIBRARY BUILDING REPAIRS</t>
  </si>
  <si>
    <t>SCHOOL BONDS</t>
  </si>
  <si>
    <t>DEPARTMENTAL EQUIPMENT</t>
  </si>
  <si>
    <t>ROAD CONSTRUCTION</t>
  </si>
  <si>
    <t>WATER TOTAL</t>
  </si>
  <si>
    <t>SEWER TOTAL</t>
  </si>
  <si>
    <t>NURSE</t>
  </si>
  <si>
    <t>WATER</t>
  </si>
  <si>
    <t>GASOLINE</t>
  </si>
  <si>
    <t>TOWN HALL CLEAN UP</t>
  </si>
  <si>
    <t>CLEANING CONTRACTED SERVICES</t>
  </si>
  <si>
    <t>WATER AND SEWAR</t>
  </si>
  <si>
    <t>OTHER</t>
  </si>
  <si>
    <t>Difference</t>
  </si>
  <si>
    <t>CHARTER SCHOOL SENDING TUITION</t>
  </si>
  <si>
    <t>100 GENERAL GOVERNMENT</t>
  </si>
  <si>
    <t>200 PUBLIC SAFETY</t>
  </si>
  <si>
    <t>500 HUMAN SERVICES</t>
  </si>
  <si>
    <t>FY19</t>
  </si>
  <si>
    <t>FY20</t>
  </si>
  <si>
    <t>SALARY &amp; WAGES PERM</t>
  </si>
  <si>
    <t>TOWN MODERATOR</t>
  </si>
  <si>
    <t>POLICE</t>
  </si>
  <si>
    <t>HEALTH OFFICER</t>
  </si>
  <si>
    <t>DISPATCH EXPENSE</t>
  </si>
  <si>
    <t>SELECTMEN</t>
  </si>
  <si>
    <t>DISPATCH</t>
  </si>
  <si>
    <t>COUNCIL ON AGING</t>
  </si>
  <si>
    <t>SALARY, PERMANENT</t>
  </si>
  <si>
    <t>COORDINATOR</t>
  </si>
  <si>
    <t>FIRE</t>
  </si>
  <si>
    <t>VETERANS</t>
  </si>
  <si>
    <t xml:space="preserve">SALARY, APPOINTED </t>
  </si>
  <si>
    <t>TOWN POLICE DETAIL</t>
  </si>
  <si>
    <t>COMMISSION ON DISABILITIES</t>
  </si>
  <si>
    <t>FINANCE COMMITTEE</t>
  </si>
  <si>
    <t>TOTAL - HUMAN SERVICES</t>
  </si>
  <si>
    <t>AMBULANCE</t>
  </si>
  <si>
    <t>600 CULTURE AND RECREATION</t>
  </si>
  <si>
    <t>ACCOUNTANT</t>
  </si>
  <si>
    <t>BUILDING INSPECTOR</t>
  </si>
  <si>
    <t>SALARIES, PERMANENT</t>
  </si>
  <si>
    <t>LIBRARY</t>
  </si>
  <si>
    <t xml:space="preserve">SALARIES, APPOINTED </t>
  </si>
  <si>
    <t>ASSESSORS</t>
  </si>
  <si>
    <t>PLUMBING INSPECTOR</t>
  </si>
  <si>
    <t>PARKS</t>
  </si>
  <si>
    <t>TREASURER/COLLECTOR</t>
  </si>
  <si>
    <t>ELECTRICAL INSPECTOR</t>
  </si>
  <si>
    <t>HISTORICAL COMM-RED SHOP</t>
  </si>
  <si>
    <t>TOWN COUNSEL</t>
  </si>
  <si>
    <t>WEIGHTS &amp; MEASURES</t>
  </si>
  <si>
    <t>HISTORICAL COMMITTEE</t>
  </si>
  <si>
    <t>CIVIL DEFENSE (EMS)</t>
  </si>
  <si>
    <t>MEMORIAL DAY</t>
  </si>
  <si>
    <t>SALARIES, ELECTED</t>
  </si>
  <si>
    <t>SALARY &amp; WAGES PERM.</t>
  </si>
  <si>
    <t>CULTURAL COUNCIL</t>
  </si>
  <si>
    <t>TOWN CLERK</t>
  </si>
  <si>
    <t>DOG OFFICER</t>
  </si>
  <si>
    <t>TOTAL - CULTURE AND REC</t>
  </si>
  <si>
    <t>700 DEBT SERVICE</t>
  </si>
  <si>
    <t>ELECTIONS</t>
  </si>
  <si>
    <t>FORESTRY-TREE PLANTING</t>
  </si>
  <si>
    <t>RETIREMENT OF DEBT - PRINC</t>
  </si>
  <si>
    <t>FORESTRY-PEST CONTROL</t>
  </si>
  <si>
    <t>RETIREMENT OF DEBT - INT</t>
  </si>
  <si>
    <t>REGISTRATION</t>
  </si>
  <si>
    <t xml:space="preserve">FORESTRY-DUTCH ELM </t>
  </si>
  <si>
    <t>TOTAL - DEBT SERVICE</t>
  </si>
  <si>
    <t xml:space="preserve">SALARY </t>
  </si>
  <si>
    <t>TOTAL - PUBLIC SAFETY</t>
  </si>
  <si>
    <t>800 INTERGOVERNMENTAL</t>
  </si>
  <si>
    <t>PARKING CLERK</t>
  </si>
  <si>
    <t>300 EDUCATION</t>
  </si>
  <si>
    <t>COUNTY ASSESSMENTS</t>
  </si>
  <si>
    <t>SALARY, APPOINTED</t>
  </si>
  <si>
    <t>SCHOOL DEPT</t>
  </si>
  <si>
    <t>TOTAL INTERGOV.</t>
  </si>
  <si>
    <t>CONSERVATION COMMITTEE</t>
  </si>
  <si>
    <t>400 PUBLIC WORKS</t>
  </si>
  <si>
    <t>900 MISCELLANEOUS</t>
  </si>
  <si>
    <t>SALARIES PERMANENT</t>
  </si>
  <si>
    <t>UNEMPLOYMENT COMPENSATION</t>
  </si>
  <si>
    <t>SALARIES APPOINTED  OFFICIALS</t>
  </si>
  <si>
    <t xml:space="preserve">MEDICARE  </t>
  </si>
  <si>
    <t>PLANNING BOARD</t>
  </si>
  <si>
    <t>HIGHWAY</t>
  </si>
  <si>
    <t>HEALTH AND LIFE INS. PREM</t>
  </si>
  <si>
    <t>SNOW REMOVAL</t>
  </si>
  <si>
    <t>ZONING BOARD</t>
  </si>
  <si>
    <t>LIABILITY INSURANCE</t>
  </si>
  <si>
    <t>STREET LIGHTING</t>
  </si>
  <si>
    <t>COMPUTER</t>
  </si>
  <si>
    <t>TOTAL - MISCELLANEOUS</t>
  </si>
  <si>
    <t>PUBLIC BLD - TOWN HALL</t>
  </si>
  <si>
    <t>CEMETERY</t>
  </si>
  <si>
    <t>TOTAL - GENERAL GOVT</t>
  </si>
  <si>
    <t>TOTAL - PUBLIC WORKS</t>
  </si>
  <si>
    <t>TOTAL</t>
  </si>
  <si>
    <t>OTHER UNCLASSIFIED</t>
  </si>
  <si>
    <t>Suggestion to add $678 to reserve fund</t>
  </si>
  <si>
    <t>OVERRIDE $430,000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</si>
</sst>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#,##0.0000_);\(#,##0.0000\)"/>
    <numFmt numFmtId="166" formatCode="#,##0.000_);\(#,##0.000\)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el"/>
    </font>
    <font>
      <b/>
      <u/>
      <sz val="10"/>
      <color indexed="12"/>
      <name val="Ariel"/>
    </font>
    <font>
      <b/>
      <sz val="10"/>
      <name val="Ariel"/>
    </font>
    <font>
      <sz val="11"/>
      <color rgb="FF00B0F0"/>
      <name val="Calibri"/>
      <family val="2"/>
      <scheme val="minor"/>
    </font>
    <font>
      <sz val="12"/>
      <name val="Helv"/>
    </font>
    <font>
      <b/>
      <u val="double"/>
      <sz val="9"/>
      <name val="Times New Roman"/>
      <family val="1"/>
    </font>
    <font>
      <u val="double"/>
      <sz val="9"/>
      <name val="Times New Roman"/>
      <family val="1"/>
    </font>
    <font>
      <sz val="9"/>
      <name val="Helv"/>
    </font>
    <font>
      <sz val="11"/>
      <name val="Helv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7" fontId="6" fillId="0" borderId="0"/>
  </cellStyleXfs>
  <cellXfs count="86">
    <xf numFmtId="0" fontId="0" fillId="0" borderId="0" xfId="0"/>
    <xf numFmtId="0" fontId="2" fillId="2" borderId="0" xfId="0" applyFont="1" applyFill="1"/>
    <xf numFmtId="0" fontId="2" fillId="3" borderId="0" xfId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1" applyFont="1" applyFill="1"/>
    <xf numFmtId="0" fontId="2" fillId="2" borderId="0" xfId="0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0" borderId="0" xfId="0" applyFont="1"/>
    <xf numFmtId="0" fontId="2" fillId="0" borderId="0" xfId="1" applyFont="1" applyAlignment="1">
      <alignment horizontal="left"/>
    </xf>
    <xf numFmtId="0" fontId="2" fillId="2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4" borderId="0" xfId="1" applyFont="1" applyFill="1" applyAlignment="1">
      <alignment horizontal="left"/>
    </xf>
    <xf numFmtId="0" fontId="3" fillId="5" borderId="0" xfId="1" applyFont="1" applyFill="1" applyAlignment="1">
      <alignment horizontal="left"/>
    </xf>
    <xf numFmtId="164" fontId="0" fillId="0" borderId="0" xfId="0" applyNumberFormat="1"/>
    <xf numFmtId="164" fontId="0" fillId="4" borderId="0" xfId="0" applyNumberFormat="1" applyFill="1"/>
    <xf numFmtId="164" fontId="0" fillId="5" borderId="0" xfId="0" applyNumberFormat="1" applyFill="1"/>
    <xf numFmtId="7" fontId="0" fillId="0" borderId="0" xfId="0" applyNumberFormat="1"/>
    <xf numFmtId="165" fontId="5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left"/>
    </xf>
    <xf numFmtId="37" fontId="7" fillId="0" borderId="1" xfId="2" applyNumberFormat="1" applyFont="1" applyFill="1" applyBorder="1" applyAlignment="1" applyProtection="1">
      <alignment horizontal="center" vertical="center"/>
    </xf>
    <xf numFmtId="37" fontId="8" fillId="0" borderId="2" xfId="2" applyFont="1" applyBorder="1" applyAlignment="1">
      <alignment horizontal="center" vertical="center"/>
    </xf>
    <xf numFmtId="37" fontId="11" fillId="0" borderId="0" xfId="2" applyFont="1"/>
    <xf numFmtId="37" fontId="11" fillId="0" borderId="2" xfId="2" applyFont="1" applyBorder="1" applyAlignment="1">
      <alignment horizontal="center" vertical="center"/>
    </xf>
    <xf numFmtId="37" fontId="11" fillId="0" borderId="0" xfId="2" applyFont="1" applyFill="1" applyBorder="1"/>
    <xf numFmtId="37" fontId="12" fillId="0" borderId="4" xfId="2" applyFont="1" applyFill="1" applyBorder="1" applyAlignment="1">
      <alignment horizontal="left"/>
    </xf>
    <xf numFmtId="37" fontId="13" fillId="0" borderId="0" xfId="2" applyFont="1" applyFill="1" applyBorder="1" applyAlignment="1">
      <alignment horizontal="center"/>
    </xf>
    <xf numFmtId="37" fontId="14" fillId="0" borderId="0" xfId="2" applyFont="1" applyFill="1" applyBorder="1" applyAlignment="1">
      <alignment horizontal="center"/>
    </xf>
    <xf numFmtId="37" fontId="14" fillId="0" borderId="5" xfId="2" applyFont="1" applyFill="1" applyBorder="1" applyAlignment="1">
      <alignment horizontal="center"/>
    </xf>
    <xf numFmtId="37" fontId="13" fillId="0" borderId="0" xfId="2" applyFont="1" applyAlignment="1">
      <alignment horizontal="center"/>
    </xf>
    <xf numFmtId="37" fontId="15" fillId="0" borderId="4" xfId="2" applyFont="1" applyFill="1" applyBorder="1" applyAlignment="1">
      <alignment horizontal="center"/>
    </xf>
    <xf numFmtId="37" fontId="12" fillId="0" borderId="4" xfId="2" applyNumberFormat="1" applyFont="1" applyFill="1" applyBorder="1" applyAlignment="1" applyProtection="1">
      <alignment horizontal="left"/>
    </xf>
    <xf numFmtId="37" fontId="16" fillId="0" borderId="0" xfId="2" applyFont="1" applyFill="1" applyBorder="1"/>
    <xf numFmtId="37" fontId="16" fillId="0" borderId="5" xfId="2" applyFont="1" applyFill="1" applyBorder="1"/>
    <xf numFmtId="37" fontId="15" fillId="0" borderId="4" xfId="2" applyNumberFormat="1" applyFont="1" applyFill="1" applyBorder="1" applyAlignment="1" applyProtection="1">
      <alignment horizontal="left"/>
    </xf>
    <xf numFmtId="37" fontId="13" fillId="0" borderId="0" xfId="2" applyFont="1" applyFill="1" applyBorder="1"/>
    <xf numFmtId="37" fontId="14" fillId="0" borderId="0" xfId="2" applyFont="1" applyFill="1" applyBorder="1"/>
    <xf numFmtId="37" fontId="14" fillId="0" borderId="5" xfId="2" applyFont="1" applyFill="1" applyBorder="1"/>
    <xf numFmtId="37" fontId="15" fillId="0" borderId="4" xfId="2" applyFont="1" applyFill="1" applyBorder="1" applyAlignment="1">
      <alignment horizontal="left"/>
    </xf>
    <xf numFmtId="37" fontId="15" fillId="0" borderId="4" xfId="2" applyFont="1" applyFill="1" applyBorder="1"/>
    <xf numFmtId="37" fontId="14" fillId="0" borderId="5" xfId="2" applyNumberFormat="1" applyFont="1" applyFill="1" applyBorder="1" applyProtection="1"/>
    <xf numFmtId="37" fontId="17" fillId="0" borderId="6" xfId="2" applyNumberFormat="1" applyFont="1" applyFill="1" applyBorder="1" applyAlignment="1" applyProtection="1">
      <alignment horizontal="left"/>
    </xf>
    <xf numFmtId="37" fontId="18" fillId="0" borderId="7" xfId="2" applyFont="1" applyFill="1" applyBorder="1"/>
    <xf numFmtId="37" fontId="15" fillId="0" borderId="0" xfId="2" applyFont="1" applyFill="1" applyBorder="1"/>
    <xf numFmtId="37" fontId="7" fillId="0" borderId="2" xfId="2" applyNumberFormat="1" applyFont="1" applyFill="1" applyBorder="1" applyAlignment="1" applyProtection="1">
      <alignment horizontal="center" vertical="center"/>
    </xf>
    <xf numFmtId="37" fontId="13" fillId="0" borderId="4" xfId="2" applyNumberFormat="1" applyFont="1" applyFill="1" applyBorder="1" applyAlignment="1" applyProtection="1">
      <alignment horizontal="left"/>
    </xf>
    <xf numFmtId="37" fontId="19" fillId="0" borderId="0" xfId="2" applyFont="1" applyFill="1" applyBorder="1" applyAlignment="1">
      <alignment horizontal="center"/>
    </xf>
    <xf numFmtId="37" fontId="19" fillId="0" borderId="5" xfId="2" applyFont="1" applyFill="1" applyBorder="1" applyAlignment="1">
      <alignment horizontal="center"/>
    </xf>
    <xf numFmtId="37" fontId="12" fillId="0" borderId="4" xfId="2" applyFont="1" applyFill="1" applyBorder="1"/>
    <xf numFmtId="37" fontId="12" fillId="0" borderId="0" xfId="2" applyFont="1" applyFill="1" applyBorder="1"/>
    <xf numFmtId="37" fontId="16" fillId="0" borderId="3" xfId="2" applyFont="1" applyFill="1" applyBorder="1"/>
    <xf numFmtId="37" fontId="14" fillId="0" borderId="7" xfId="2" applyFont="1" applyFill="1" applyBorder="1"/>
    <xf numFmtId="37" fontId="17" fillId="0" borderId="6" xfId="2" applyNumberFormat="1" applyFont="1" applyFill="1" applyBorder="1" applyAlignment="1" applyProtection="1">
      <alignment horizontal="center"/>
    </xf>
    <xf numFmtId="37" fontId="18" fillId="0" borderId="7" xfId="2" applyNumberFormat="1" applyFont="1" applyFill="1" applyBorder="1" applyProtection="1"/>
    <xf numFmtId="37" fontId="17" fillId="0" borderId="6" xfId="2" applyFont="1" applyFill="1" applyBorder="1" applyAlignment="1">
      <alignment horizontal="left"/>
    </xf>
    <xf numFmtId="37" fontId="12" fillId="0" borderId="0" xfId="2" applyFont="1" applyFill="1" applyAlignment="1">
      <alignment horizontal="left"/>
    </xf>
    <xf numFmtId="37" fontId="11" fillId="0" borderId="0" xfId="2" applyFont="1" applyFill="1"/>
    <xf numFmtId="37" fontId="16" fillId="0" borderId="5" xfId="2" applyNumberFormat="1" applyFont="1" applyFill="1" applyBorder="1"/>
    <xf numFmtId="37" fontId="15" fillId="0" borderId="6" xfId="2" applyFont="1" applyFill="1" applyBorder="1"/>
    <xf numFmtId="37" fontId="12" fillId="0" borderId="0" xfId="2" applyFont="1" applyFill="1" applyBorder="1" applyAlignment="1">
      <alignment horizontal="left"/>
    </xf>
    <xf numFmtId="37" fontId="15" fillId="0" borderId="0" xfId="2" applyFont="1" applyFill="1" applyBorder="1" applyAlignment="1">
      <alignment horizontal="left"/>
    </xf>
    <xf numFmtId="37" fontId="7" fillId="0" borderId="1" xfId="2" applyNumberFormat="1" applyFont="1" applyFill="1" applyBorder="1" applyAlignment="1" applyProtection="1">
      <alignment horizontal="center" vertical="center"/>
    </xf>
    <xf numFmtId="37" fontId="7" fillId="0" borderId="2" xfId="2" applyNumberFormat="1" applyFont="1" applyFill="1" applyBorder="1" applyAlignment="1" applyProtection="1">
      <alignment horizontal="center" vertical="center"/>
    </xf>
    <xf numFmtId="37" fontId="16" fillId="0" borderId="8" xfId="2" applyFont="1" applyFill="1" applyBorder="1"/>
    <xf numFmtId="37" fontId="14" fillId="0" borderId="8" xfId="2" applyFont="1" applyFill="1" applyBorder="1"/>
    <xf numFmtId="37" fontId="14" fillId="0" borderId="8" xfId="2" applyNumberFormat="1" applyFont="1" applyFill="1" applyBorder="1" applyProtection="1"/>
    <xf numFmtId="37" fontId="9" fillId="0" borderId="3" xfId="2" applyFont="1" applyBorder="1" applyAlignment="1">
      <alignment horizontal="center" vertical="center"/>
    </xf>
    <xf numFmtId="37" fontId="7" fillId="0" borderId="3" xfId="2" applyNumberFormat="1" applyFont="1" applyFill="1" applyBorder="1" applyAlignment="1" applyProtection="1">
      <alignment horizontal="center" vertical="center"/>
    </xf>
    <xf numFmtId="37" fontId="7" fillId="0" borderId="3" xfId="2" applyNumberFormat="1" applyFont="1" applyFill="1" applyBorder="1" applyAlignment="1" applyProtection="1">
      <alignment horizontal="center" vertical="center"/>
    </xf>
    <xf numFmtId="37" fontId="9" fillId="0" borderId="3" xfId="2" applyFont="1" applyBorder="1" applyAlignment="1"/>
    <xf numFmtId="37" fontId="11" fillId="0" borderId="4" xfId="2" applyFont="1" applyFill="1" applyBorder="1"/>
    <xf numFmtId="37" fontId="10" fillId="0" borderId="5" xfId="2" applyFont="1" applyBorder="1" applyAlignment="1">
      <alignment horizontal="center" vertical="center"/>
    </xf>
    <xf numFmtId="0" fontId="0" fillId="0" borderId="0" xfId="0" applyBorder="1"/>
    <xf numFmtId="37" fontId="10" fillId="0" borderId="9" xfId="2" applyFont="1" applyBorder="1" applyAlignment="1">
      <alignment horizontal="center" vertical="center"/>
    </xf>
    <xf numFmtId="37" fontId="18" fillId="0" borderId="0" xfId="2" applyFont="1" applyFill="1" applyBorder="1"/>
    <xf numFmtId="37" fontId="7" fillId="0" borderId="9" xfId="2" applyNumberFormat="1" applyFont="1" applyFill="1" applyBorder="1" applyAlignment="1" applyProtection="1">
      <alignment horizontal="center" vertical="center"/>
    </xf>
    <xf numFmtId="0" fontId="0" fillId="0" borderId="1" xfId="0" applyBorder="1"/>
    <xf numFmtId="37" fontId="18" fillId="0" borderId="10" xfId="2" applyFont="1" applyFill="1" applyBorder="1"/>
    <xf numFmtId="37" fontId="18" fillId="0" borderId="10" xfId="2" applyNumberFormat="1" applyFont="1" applyFill="1" applyBorder="1" applyProtection="1"/>
    <xf numFmtId="37" fontId="7" fillId="0" borderId="0" xfId="2" applyNumberFormat="1" applyFont="1" applyFill="1" applyBorder="1" applyAlignment="1" applyProtection="1">
      <alignment horizontal="center" vertical="center"/>
    </xf>
    <xf numFmtId="37" fontId="14" fillId="0" borderId="10" xfId="2" applyFont="1" applyFill="1" applyBorder="1"/>
    <xf numFmtId="37" fontId="10" fillId="0" borderId="0" xfId="2" applyFont="1" applyBorder="1" applyAlignment="1"/>
    <xf numFmtId="0" fontId="0" fillId="0" borderId="5" xfId="0" applyBorder="1"/>
    <xf numFmtId="37" fontId="0" fillId="0" borderId="0" xfId="0" applyNumberFormat="1"/>
  </cellXfs>
  <cellStyles count="3">
    <cellStyle name="Hyperlink" xfId="1" builtinId="8"/>
    <cellStyle name="Normal" xfId="0" builtinId="0"/>
    <cellStyle name="Normal 2" xfId="2" xr:uid="{2868A605-AB7B-4C72-9A65-3EE0A1483EA5}"/>
  </cellStyles>
  <dxfs count="0"/>
  <tableStyles count="0" defaultTableStyle="TableStyleMedium2" defaultPivotStyle="PivotStyleLight16"/>
  <colors>
    <mruColors>
      <color rgb="FF8F45C7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Y2017\Budget\Copy%20of%20FY17%20Spreadsheet%20for%20town%20me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8 Fincom Report"/>
      <sheetName val="FY09 Fincom Report"/>
      <sheetName val="FY09 Fincom Changes"/>
      <sheetName val="FY10 Fincom Report"/>
      <sheetName val="FY11 Fincom Report"/>
      <sheetName val="FY12 Fincom Report"/>
      <sheetName val="Y13 Fincom Report"/>
      <sheetName val="FY2013"/>
      <sheetName val="FY17 Fincom Report"/>
      <sheetName val="FY 2008"/>
      <sheetName val="FY2009"/>
      <sheetName val="FY2010"/>
      <sheetName val="FY2011"/>
      <sheetName val="FY2012"/>
      <sheetName val="FY2017"/>
      <sheetName val="FY2016"/>
      <sheetName val="FY2015"/>
      <sheetName val="Cherry Sheet FY2013"/>
      <sheetName val="General Govt"/>
      <sheetName val="Gen'l Govt 2010"/>
      <sheetName val="Public Safety"/>
      <sheetName val="Receipts"/>
      <sheetName val="Recap Receipts"/>
      <sheetName val="Insurance"/>
      <sheetName val="Life Insurance"/>
      <sheetName val="Free Cash"/>
      <sheetName val="Cherry Sheet 1 28 09"/>
      <sheetName val="Cherry Sheet FY10"/>
      <sheetName val="Cherry Sheet FY2011"/>
      <sheetName val="Cherry Sheet FY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19">
          <cell r="I19">
            <v>8000</v>
          </cell>
        </row>
        <row r="38">
          <cell r="I38">
            <v>25000</v>
          </cell>
        </row>
        <row r="130">
          <cell r="I130" t="e">
            <v>#REF!</v>
          </cell>
        </row>
        <row r="149">
          <cell r="I149">
            <v>421942</v>
          </cell>
        </row>
        <row r="175">
          <cell r="I175">
            <v>0</v>
          </cell>
        </row>
        <row r="186">
          <cell r="I186">
            <v>10600</v>
          </cell>
        </row>
        <row r="190">
          <cell r="I190">
            <v>1500</v>
          </cell>
        </row>
        <row r="194">
          <cell r="I194">
            <v>1500</v>
          </cell>
        </row>
        <row r="204">
          <cell r="I204">
            <v>180</v>
          </cell>
        </row>
        <row r="210">
          <cell r="I210">
            <v>6138</v>
          </cell>
        </row>
        <row r="217">
          <cell r="I217">
            <v>9050</v>
          </cell>
        </row>
        <row r="220">
          <cell r="I220">
            <v>100</v>
          </cell>
        </row>
        <row r="223">
          <cell r="I223">
            <v>750</v>
          </cell>
        </row>
        <row r="225">
          <cell r="I225">
            <v>456760</v>
          </cell>
        </row>
        <row r="229">
          <cell r="I229" t="e">
            <v>#REF!</v>
          </cell>
        </row>
        <row r="253">
          <cell r="I253">
            <v>208718</v>
          </cell>
        </row>
        <row r="262">
          <cell r="I262">
            <v>52000</v>
          </cell>
        </row>
        <row r="265">
          <cell r="I265">
            <v>39400</v>
          </cell>
        </row>
        <row r="269">
          <cell r="I269">
            <v>2150</v>
          </cell>
        </row>
        <row r="271">
          <cell r="I271">
            <v>302268</v>
          </cell>
        </row>
        <row r="297">
          <cell r="I297">
            <v>28665</v>
          </cell>
        </row>
        <row r="301">
          <cell r="I301">
            <v>12385</v>
          </cell>
        </row>
        <row r="304">
          <cell r="I304">
            <v>0</v>
          </cell>
        </row>
        <row r="306">
          <cell r="I306">
            <v>283575</v>
          </cell>
        </row>
        <row r="324">
          <cell r="I324">
            <v>109909</v>
          </cell>
        </row>
        <row r="337">
          <cell r="I337">
            <v>28126</v>
          </cell>
        </row>
        <row r="341">
          <cell r="I341">
            <v>0</v>
          </cell>
        </row>
        <row r="346">
          <cell r="I346">
            <v>400</v>
          </cell>
        </row>
        <row r="349">
          <cell r="I349">
            <v>1000</v>
          </cell>
        </row>
        <row r="352">
          <cell r="I352">
            <v>2261</v>
          </cell>
        </row>
        <row r="354">
          <cell r="I354">
            <v>141696</v>
          </cell>
        </row>
        <row r="379">
          <cell r="I379">
            <v>248838</v>
          </cell>
        </row>
        <row r="385">
          <cell r="I385">
            <v>162388</v>
          </cell>
        </row>
        <row r="388">
          <cell r="I388">
            <v>30477</v>
          </cell>
        </row>
        <row r="391">
          <cell r="I391">
            <v>967</v>
          </cell>
        </row>
        <row r="393">
          <cell r="I393" t="e">
            <v>#REF!</v>
          </cell>
        </row>
        <row r="399">
          <cell r="I399" t="e">
            <v>#REF!</v>
          </cell>
        </row>
        <row r="403">
          <cell r="I403" t="e">
            <v>#REF!</v>
          </cell>
        </row>
        <row r="406">
          <cell r="I406">
            <v>5000</v>
          </cell>
        </row>
        <row r="409">
          <cell r="I409">
            <v>35190</v>
          </cell>
        </row>
        <row r="412">
          <cell r="I412">
            <v>458806</v>
          </cell>
        </row>
        <row r="420">
          <cell r="I420">
            <v>80000</v>
          </cell>
        </row>
        <row r="422">
          <cell r="I422">
            <v>0</v>
          </cell>
        </row>
        <row r="424">
          <cell r="I424" t="e">
            <v>#REF!</v>
          </cell>
        </row>
        <row r="456">
          <cell r="I456">
            <v>256048</v>
          </cell>
        </row>
        <row r="485">
          <cell r="I485">
            <v>294054</v>
          </cell>
        </row>
        <row r="489">
          <cell r="I489">
            <v>0</v>
          </cell>
        </row>
      </sheetData>
      <sheetData sheetId="10" refreshError="1"/>
      <sheetData sheetId="11">
        <row r="7">
          <cell r="AF7">
            <v>200</v>
          </cell>
        </row>
      </sheetData>
      <sheetData sheetId="12" refreshError="1"/>
      <sheetData sheetId="13"/>
      <sheetData sheetId="14">
        <row r="2">
          <cell r="AH2">
            <v>200</v>
          </cell>
        </row>
        <row r="96">
          <cell r="AH96">
            <v>0</v>
          </cell>
        </row>
        <row r="97">
          <cell r="AH97">
            <v>0</v>
          </cell>
        </row>
      </sheetData>
      <sheetData sheetId="15" refreshError="1"/>
      <sheetData sheetId="16">
        <row r="3">
          <cell r="AF3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4FB2-5787-4266-B204-F062D90F6131}">
  <sheetPr>
    <pageSetUpPr fitToPage="1"/>
  </sheetPr>
  <dimension ref="A1:M86"/>
  <sheetViews>
    <sheetView tabSelected="1" workbookViewId="0">
      <selection activeCell="K85" sqref="K85"/>
    </sheetView>
  </sheetViews>
  <sheetFormatPr defaultRowHeight="14.4"/>
  <cols>
    <col min="1" max="1" width="30.77734375" customWidth="1"/>
    <col min="2" max="3" width="10.77734375" customWidth="1"/>
    <col min="4" max="4" width="1.77734375" customWidth="1"/>
    <col min="5" max="5" width="30.77734375" customWidth="1"/>
    <col min="6" max="7" width="12.77734375" customWidth="1"/>
    <col min="8" max="8" width="1.77734375" customWidth="1"/>
    <col min="9" max="9" width="30.77734375" customWidth="1"/>
    <col min="10" max="11" width="10.77734375" customWidth="1"/>
    <col min="12" max="12" width="12.77734375" customWidth="1"/>
  </cols>
  <sheetData>
    <row r="1" spans="1:11" ht="15" thickBot="1">
      <c r="D1" s="74"/>
    </row>
    <row r="2" spans="1:11" ht="15.6">
      <c r="A2" s="22" t="s">
        <v>356</v>
      </c>
      <c r="B2" s="23"/>
      <c r="C2" s="68"/>
      <c r="D2" s="73"/>
      <c r="E2" s="22" t="s">
        <v>357</v>
      </c>
      <c r="F2" s="25"/>
      <c r="G2" s="68"/>
      <c r="H2" s="75"/>
      <c r="I2" s="22" t="s">
        <v>358</v>
      </c>
      <c r="J2" s="23"/>
      <c r="K2" s="71"/>
    </row>
    <row r="3" spans="1:11">
      <c r="A3" s="27"/>
      <c r="B3" s="29" t="s">
        <v>359</v>
      </c>
      <c r="C3" s="30" t="s">
        <v>360</v>
      </c>
      <c r="D3" s="31"/>
      <c r="E3" s="32"/>
      <c r="F3" s="29" t="s">
        <v>359</v>
      </c>
      <c r="G3" s="30" t="s">
        <v>360</v>
      </c>
      <c r="H3" s="28"/>
      <c r="I3" s="32"/>
      <c r="J3" s="29" t="s">
        <v>359</v>
      </c>
      <c r="K3" s="30" t="s">
        <v>360</v>
      </c>
    </row>
    <row r="4" spans="1:11">
      <c r="A4" s="33" t="s">
        <v>0</v>
      </c>
      <c r="B4" s="65">
        <v>200</v>
      </c>
      <c r="C4" s="35">
        <v>200</v>
      </c>
      <c r="D4" s="24"/>
      <c r="E4" s="33" t="s">
        <v>116</v>
      </c>
      <c r="F4" s="65">
        <f>885217+100000</f>
        <v>985217</v>
      </c>
      <c r="G4" s="35">
        <f>913217+150000</f>
        <v>1063217</v>
      </c>
      <c r="H4" s="26"/>
      <c r="I4" s="33" t="s">
        <v>361</v>
      </c>
      <c r="J4" s="65">
        <v>17280</v>
      </c>
      <c r="K4" s="35">
        <v>21178</v>
      </c>
    </row>
    <row r="5" spans="1:11">
      <c r="A5" s="33" t="s">
        <v>119</v>
      </c>
      <c r="B5" s="65">
        <v>0</v>
      </c>
      <c r="C5" s="35">
        <v>0</v>
      </c>
      <c r="D5" s="24"/>
      <c r="E5" s="33" t="s">
        <v>119</v>
      </c>
      <c r="F5" s="65">
        <f>41019+38495+22500+80052+45800</f>
        <v>227866</v>
      </c>
      <c r="G5" s="35">
        <f>41019+38495+22500+80053</f>
        <v>182067</v>
      </c>
      <c r="H5" s="26"/>
      <c r="I5" s="33" t="s">
        <v>0</v>
      </c>
      <c r="J5" s="65">
        <v>1665</v>
      </c>
      <c r="K5" s="35">
        <v>1665</v>
      </c>
    </row>
    <row r="6" spans="1:11">
      <c r="A6" s="36" t="s">
        <v>362</v>
      </c>
      <c r="B6" s="66">
        <f>B5+B4</f>
        <v>200</v>
      </c>
      <c r="C6" s="39">
        <f>SUM(C4:C5)</f>
        <v>200</v>
      </c>
      <c r="D6" s="24"/>
      <c r="E6" s="36" t="s">
        <v>363</v>
      </c>
      <c r="F6" s="66">
        <f>F5+F4</f>
        <v>1213083</v>
      </c>
      <c r="G6" s="39">
        <f>SUM(G4:G5)</f>
        <v>1245284</v>
      </c>
      <c r="H6" s="26"/>
      <c r="I6" s="33" t="s">
        <v>119</v>
      </c>
      <c r="J6" s="65">
        <f>700+1500+425000+7000+30000+480+300+746+150</f>
        <v>465876</v>
      </c>
      <c r="K6" s="35">
        <f>1500+485000+7000+30000+480+300+746+150</f>
        <v>525176</v>
      </c>
    </row>
    <row r="7" spans="1:11">
      <c r="A7" s="27"/>
      <c r="B7" s="34"/>
      <c r="C7" s="35"/>
      <c r="D7" s="24"/>
      <c r="E7" s="33"/>
      <c r="F7" s="38"/>
      <c r="G7" s="39"/>
      <c r="H7" s="26"/>
      <c r="I7" s="36" t="s">
        <v>364</v>
      </c>
      <c r="J7" s="66">
        <f>J6+J5+J4</f>
        <v>484821</v>
      </c>
      <c r="K7" s="39">
        <f>SUM(K4:K6)</f>
        <v>548019</v>
      </c>
    </row>
    <row r="8" spans="1:11">
      <c r="A8" s="33" t="s">
        <v>0</v>
      </c>
      <c r="B8" s="65">
        <v>5850</v>
      </c>
      <c r="C8" s="35">
        <v>5850</v>
      </c>
      <c r="D8" s="24"/>
      <c r="E8" s="33" t="s">
        <v>77</v>
      </c>
      <c r="F8" s="65">
        <f>222002+57253</f>
        <v>279255</v>
      </c>
      <c r="G8" s="35">
        <f>224831+63821</f>
        <v>288652</v>
      </c>
      <c r="H8" s="26"/>
      <c r="I8" s="36"/>
      <c r="J8" s="38"/>
      <c r="K8" s="39"/>
    </row>
    <row r="9" spans="1:11">
      <c r="A9" s="33" t="s">
        <v>119</v>
      </c>
      <c r="B9" s="65">
        <v>5940</v>
      </c>
      <c r="C9" s="35">
        <v>5940</v>
      </c>
      <c r="D9" s="24"/>
      <c r="E9" s="33" t="s">
        <v>365</v>
      </c>
      <c r="F9" s="65">
        <v>8661</v>
      </c>
      <c r="G9" s="35">
        <v>27720</v>
      </c>
      <c r="H9" s="26"/>
      <c r="I9" s="33" t="s">
        <v>116</v>
      </c>
      <c r="J9" s="65">
        <f>58014+23012</f>
        <v>81026</v>
      </c>
      <c r="K9" s="35">
        <f>59755+23703</f>
        <v>83458</v>
      </c>
    </row>
    <row r="10" spans="1:11">
      <c r="A10" s="36" t="s">
        <v>366</v>
      </c>
      <c r="B10" s="66">
        <f>B9+B8</f>
        <v>11790</v>
      </c>
      <c r="C10" s="39">
        <f>SUM(C8:C9)</f>
        <v>11790</v>
      </c>
      <c r="D10" s="24"/>
      <c r="E10" s="40" t="s">
        <v>367</v>
      </c>
      <c r="F10" s="66">
        <f>F9+F8</f>
        <v>287916</v>
      </c>
      <c r="G10" s="39">
        <f>G9+G8</f>
        <v>316372</v>
      </c>
      <c r="H10" s="26"/>
      <c r="I10" s="33" t="s">
        <v>119</v>
      </c>
      <c r="J10" s="65">
        <f>2000+20000+6125+1000+1000+1700</f>
        <v>31825</v>
      </c>
      <c r="K10" s="35">
        <f>2000+20000+6125+1000+1000+1700+700</f>
        <v>32525</v>
      </c>
    </row>
    <row r="11" spans="1:11">
      <c r="A11" s="27"/>
      <c r="B11" s="38"/>
      <c r="C11" s="39"/>
      <c r="D11" s="24"/>
      <c r="E11" s="41"/>
      <c r="F11" s="38"/>
      <c r="G11" s="39"/>
      <c r="H11" s="37"/>
      <c r="I11" s="36" t="s">
        <v>368</v>
      </c>
      <c r="J11" s="66">
        <f>J10+J9</f>
        <v>112851</v>
      </c>
      <c r="K11" s="39">
        <f>SUM(K9:K10)</f>
        <v>115983</v>
      </c>
    </row>
    <row r="12" spans="1:11">
      <c r="A12" s="33" t="s">
        <v>116</v>
      </c>
      <c r="B12" s="65">
        <f>88326+47736</f>
        <v>136062</v>
      </c>
      <c r="C12" s="35">
        <f>90976+49346</f>
        <v>140322</v>
      </c>
      <c r="D12" s="24"/>
      <c r="E12" s="33" t="s">
        <v>116</v>
      </c>
      <c r="F12" s="65">
        <f>524917+71835+75000+14150</f>
        <v>685902</v>
      </c>
      <c r="G12" s="35">
        <f>522833+12183+163000+18050</f>
        <v>716066</v>
      </c>
      <c r="H12" s="26"/>
      <c r="I12" s="27"/>
      <c r="J12" s="34"/>
      <c r="K12" s="35"/>
    </row>
    <row r="13" spans="1:11">
      <c r="A13" s="33" t="s">
        <v>119</v>
      </c>
      <c r="B13" s="65">
        <f>743+15000+3500+16500+3000+50000+2500</f>
        <v>91243</v>
      </c>
      <c r="C13" s="35">
        <f>743+15000+3500+16500+3000+50000+2500</f>
        <v>91243</v>
      </c>
      <c r="D13" s="24"/>
      <c r="E13" s="33" t="s">
        <v>119</v>
      </c>
      <c r="F13" s="65">
        <f>2650+11770+13644+37000+26125+2000+3200+1714+3000</f>
        <v>101103</v>
      </c>
      <c r="G13" s="35">
        <v>101103</v>
      </c>
      <c r="H13" s="26"/>
      <c r="I13" s="33" t="s">
        <v>369</v>
      </c>
      <c r="J13" s="65">
        <v>3600</v>
      </c>
      <c r="K13" s="35">
        <v>3600</v>
      </c>
    </row>
    <row r="14" spans="1:11">
      <c r="A14" s="36" t="s">
        <v>370</v>
      </c>
      <c r="B14" s="66">
        <f>B13+B12</f>
        <v>227305</v>
      </c>
      <c r="C14" s="39">
        <f>SUM(C12:C13)</f>
        <v>231565</v>
      </c>
      <c r="D14" s="24"/>
      <c r="E14" s="36" t="s">
        <v>371</v>
      </c>
      <c r="F14" s="66">
        <f>F13+F12</f>
        <v>787005</v>
      </c>
      <c r="G14" s="39">
        <f>SUM(G12:G13)</f>
        <v>817169</v>
      </c>
      <c r="H14" s="26"/>
      <c r="I14" s="33" t="s">
        <v>119</v>
      </c>
      <c r="J14" s="65">
        <v>37000</v>
      </c>
      <c r="K14" s="35">
        <v>37000</v>
      </c>
    </row>
    <row r="15" spans="1:11">
      <c r="A15" s="27"/>
      <c r="B15" s="34"/>
      <c r="C15" s="35"/>
      <c r="D15" s="24"/>
      <c r="E15" s="27"/>
      <c r="F15" s="34"/>
      <c r="G15" s="35"/>
      <c r="H15" s="37"/>
      <c r="I15" s="36" t="s">
        <v>372</v>
      </c>
      <c r="J15" s="66">
        <f>J14+J13</f>
        <v>40600</v>
      </c>
      <c r="K15" s="39">
        <f>SUM(K13:K14)</f>
        <v>40600</v>
      </c>
    </row>
    <row r="16" spans="1:11">
      <c r="A16" s="27" t="s">
        <v>373</v>
      </c>
      <c r="B16" s="65">
        <v>2100</v>
      </c>
      <c r="C16" s="35">
        <v>2100</v>
      </c>
      <c r="D16" s="24"/>
      <c r="E16" s="33" t="s">
        <v>95</v>
      </c>
      <c r="F16" s="65">
        <v>13500</v>
      </c>
      <c r="G16" s="35">
        <v>15000</v>
      </c>
      <c r="H16" s="26"/>
      <c r="I16" s="27"/>
      <c r="J16" s="34"/>
      <c r="K16" s="35"/>
    </row>
    <row r="17" spans="1:12">
      <c r="A17" s="33" t="s">
        <v>119</v>
      </c>
      <c r="B17" s="65">
        <v>200</v>
      </c>
      <c r="C17" s="35">
        <v>200</v>
      </c>
      <c r="D17" s="24"/>
      <c r="E17" s="36" t="s">
        <v>374</v>
      </c>
      <c r="F17" s="67">
        <f>F16</f>
        <v>13500</v>
      </c>
      <c r="G17" s="42">
        <f>G16</f>
        <v>15000</v>
      </c>
      <c r="H17" s="26"/>
      <c r="I17" s="36" t="s">
        <v>375</v>
      </c>
      <c r="J17" s="66">
        <v>135</v>
      </c>
      <c r="K17" s="39">
        <v>135</v>
      </c>
    </row>
    <row r="18" spans="1:12">
      <c r="A18" s="36" t="s">
        <v>376</v>
      </c>
      <c r="B18" s="66">
        <f>B17+B16</f>
        <v>2300</v>
      </c>
      <c r="C18" s="39">
        <f>SUM(C16:C17)</f>
        <v>2300</v>
      </c>
      <c r="D18" s="24"/>
      <c r="E18" s="27"/>
      <c r="F18" s="34"/>
      <c r="G18" s="35"/>
      <c r="H18" s="26"/>
      <c r="I18" s="27"/>
      <c r="J18" s="38"/>
      <c r="K18" s="39"/>
    </row>
    <row r="19" spans="1:12" ht="15" thickBot="1">
      <c r="A19" s="27"/>
      <c r="B19" s="34"/>
      <c r="C19" s="35"/>
      <c r="D19" s="24"/>
      <c r="E19" s="33" t="s">
        <v>116</v>
      </c>
      <c r="F19" s="65">
        <v>232053</v>
      </c>
      <c r="G19" s="35">
        <f>155285+18500+32385+16900</f>
        <v>223070</v>
      </c>
      <c r="H19" s="37"/>
      <c r="I19" s="43" t="s">
        <v>377</v>
      </c>
      <c r="J19" s="79">
        <f>J17+J15+J11+J7</f>
        <v>638407</v>
      </c>
      <c r="K19" s="44">
        <f>K17+K15+K11+K7</f>
        <v>704737</v>
      </c>
    </row>
    <row r="20" spans="1:12" ht="15" thickBot="1">
      <c r="A20" s="36" t="s">
        <v>16</v>
      </c>
      <c r="B20" s="66">
        <v>75000</v>
      </c>
      <c r="C20" s="39">
        <v>25000</v>
      </c>
      <c r="D20" s="24"/>
      <c r="E20" s="33" t="s">
        <v>119</v>
      </c>
      <c r="F20" s="65">
        <v>111165</v>
      </c>
      <c r="G20" s="35">
        <f>38486+54850+67210</f>
        <v>160546</v>
      </c>
      <c r="H20" s="26"/>
      <c r="I20" s="45"/>
      <c r="J20" s="37"/>
      <c r="K20" s="38"/>
      <c r="L20" s="38"/>
    </row>
    <row r="21" spans="1:12">
      <c r="A21" s="27"/>
      <c r="B21" s="34"/>
      <c r="C21" s="35"/>
      <c r="D21" s="24"/>
      <c r="E21" s="36" t="s">
        <v>378</v>
      </c>
      <c r="F21" s="67">
        <f>SUM(F19:F20)</f>
        <v>343218</v>
      </c>
      <c r="G21" s="42">
        <f>SUM(G19:G20)</f>
        <v>383616</v>
      </c>
      <c r="H21" s="37"/>
      <c r="I21" s="22" t="s">
        <v>379</v>
      </c>
      <c r="J21" s="46"/>
      <c r="K21" s="71"/>
    </row>
    <row r="22" spans="1:12">
      <c r="A22" s="33" t="s">
        <v>116</v>
      </c>
      <c r="B22" s="65">
        <f>38817+35288</f>
        <v>74105</v>
      </c>
      <c r="C22" s="35">
        <f>55020+37019</f>
        <v>92039</v>
      </c>
      <c r="D22" s="24"/>
      <c r="E22" s="27"/>
      <c r="F22" s="34"/>
      <c r="G22" s="35"/>
      <c r="H22" s="26"/>
      <c r="I22" s="27"/>
      <c r="J22" s="26"/>
      <c r="K22" s="35"/>
    </row>
    <row r="23" spans="1:12">
      <c r="A23" s="33" t="s">
        <v>119</v>
      </c>
      <c r="B23" s="65">
        <f>28000+908+500</f>
        <v>29408</v>
      </c>
      <c r="C23" s="35">
        <f>500+29000+908</f>
        <v>30408</v>
      </c>
      <c r="D23" s="24"/>
      <c r="E23" s="33" t="s">
        <v>116</v>
      </c>
      <c r="F23" s="65">
        <v>33040</v>
      </c>
      <c r="G23" s="35">
        <f>33001+1000</f>
        <v>34001</v>
      </c>
      <c r="H23" s="26"/>
      <c r="I23" s="33" t="s">
        <v>361</v>
      </c>
      <c r="J23" s="65">
        <v>174113</v>
      </c>
      <c r="K23" s="35">
        <v>178439</v>
      </c>
    </row>
    <row r="24" spans="1:12">
      <c r="A24" s="36" t="s">
        <v>380</v>
      </c>
      <c r="B24" s="66">
        <f>B23+B22</f>
        <v>103513</v>
      </c>
      <c r="C24" s="39">
        <f>SUM(C22:C23)</f>
        <v>122447</v>
      </c>
      <c r="D24" s="24"/>
      <c r="E24" s="33" t="s">
        <v>119</v>
      </c>
      <c r="F24" s="65">
        <v>3700</v>
      </c>
      <c r="G24" s="35">
        <f>2500+1200</f>
        <v>3700</v>
      </c>
      <c r="H24" s="26"/>
      <c r="I24" s="33" t="s">
        <v>0</v>
      </c>
      <c r="J24" s="65">
        <v>1440</v>
      </c>
      <c r="K24" s="35">
        <v>1440</v>
      </c>
    </row>
    <row r="25" spans="1:12">
      <c r="A25" s="41"/>
      <c r="B25" s="38"/>
      <c r="C25" s="39"/>
      <c r="D25" s="24"/>
      <c r="E25" s="36" t="s">
        <v>381</v>
      </c>
      <c r="F25" s="67">
        <f>F24+F23</f>
        <v>36740</v>
      </c>
      <c r="G25" s="42">
        <f>SUM(G23:G24)</f>
        <v>37701</v>
      </c>
      <c r="H25" s="26"/>
      <c r="I25" s="27" t="s">
        <v>119</v>
      </c>
      <c r="J25" s="65">
        <f>14000+18289+9331+100+51376+4400+550+900+400+640</f>
        <v>99986</v>
      </c>
      <c r="K25" s="35">
        <f>14000+18289+9116+100+51376+4400+550+900+400+640</f>
        <v>99771</v>
      </c>
    </row>
    <row r="26" spans="1:12">
      <c r="A26" s="33" t="s">
        <v>382</v>
      </c>
      <c r="B26" s="65">
        <v>109409</v>
      </c>
      <c r="C26" s="35">
        <v>113084</v>
      </c>
      <c r="D26" s="24"/>
      <c r="E26" s="27"/>
      <c r="F26" s="34"/>
      <c r="G26" s="35"/>
      <c r="H26" s="37"/>
      <c r="I26" s="36" t="s">
        <v>383</v>
      </c>
      <c r="J26" s="66">
        <f>J25+J24+J23</f>
        <v>275539</v>
      </c>
      <c r="K26" s="39">
        <f>SUM(K23:K25)</f>
        <v>279650</v>
      </c>
    </row>
    <row r="27" spans="1:12">
      <c r="A27" s="33" t="s">
        <v>384</v>
      </c>
      <c r="B27" s="65">
        <v>1665</v>
      </c>
      <c r="C27" s="35">
        <v>1665</v>
      </c>
      <c r="D27" s="24"/>
      <c r="E27" s="33" t="s">
        <v>361</v>
      </c>
      <c r="F27" s="65">
        <v>7275</v>
      </c>
      <c r="G27" s="35">
        <v>7275</v>
      </c>
      <c r="H27" s="26"/>
      <c r="I27" s="27"/>
      <c r="J27" s="34"/>
      <c r="K27" s="35"/>
    </row>
    <row r="28" spans="1:12">
      <c r="A28" s="33" t="s">
        <v>119</v>
      </c>
      <c r="B28" s="65">
        <f>400+20150+225+1234+1500+1145</f>
        <v>24654</v>
      </c>
      <c r="C28" s="35">
        <f>400+20150+225+1234+1500+1145</f>
        <v>24654</v>
      </c>
      <c r="D28" s="24"/>
      <c r="E28" s="33" t="s">
        <v>119</v>
      </c>
      <c r="F28" s="65">
        <v>200</v>
      </c>
      <c r="G28" s="35">
        <v>200</v>
      </c>
      <c r="H28" s="26"/>
      <c r="I28" s="33" t="s">
        <v>369</v>
      </c>
      <c r="J28" s="65">
        <v>26353</v>
      </c>
      <c r="K28" s="35">
        <v>27144</v>
      </c>
    </row>
    <row r="29" spans="1:12">
      <c r="A29" s="36" t="s">
        <v>385</v>
      </c>
      <c r="B29" s="66">
        <f>B28+B27+B26</f>
        <v>135728</v>
      </c>
      <c r="C29" s="39">
        <f>SUM(C26:C28)</f>
        <v>139403</v>
      </c>
      <c r="D29" s="24"/>
      <c r="E29" s="36" t="s">
        <v>386</v>
      </c>
      <c r="F29" s="67">
        <f>F28+F27</f>
        <v>7475</v>
      </c>
      <c r="G29" s="42">
        <f>SUM(G27:G28)</f>
        <v>7475</v>
      </c>
      <c r="H29" s="26"/>
      <c r="I29" s="33" t="s">
        <v>0</v>
      </c>
      <c r="J29" s="65">
        <v>1440</v>
      </c>
      <c r="K29" s="35">
        <v>1440</v>
      </c>
    </row>
    <row r="30" spans="1:12">
      <c r="A30" s="27"/>
      <c r="B30" s="34"/>
      <c r="C30" s="35"/>
      <c r="D30" s="24"/>
      <c r="E30" s="27"/>
      <c r="F30" s="38"/>
      <c r="G30" s="39"/>
      <c r="H30" s="26"/>
      <c r="I30" s="27" t="s">
        <v>119</v>
      </c>
      <c r="J30" s="65">
        <v>28600</v>
      </c>
      <c r="K30" s="35">
        <f>2700+5000+4000+12200+1500+3200</f>
        <v>28600</v>
      </c>
    </row>
    <row r="31" spans="1:12">
      <c r="A31" s="33" t="s">
        <v>382</v>
      </c>
      <c r="B31" s="65">
        <f>64955.61+90305.6</f>
        <v>155261.21000000002</v>
      </c>
      <c r="C31" s="35">
        <f>66845+94753</f>
        <v>161598</v>
      </c>
      <c r="D31" s="24"/>
      <c r="E31" s="33" t="s">
        <v>361</v>
      </c>
      <c r="F31" s="65">
        <v>8275</v>
      </c>
      <c r="G31" s="35">
        <v>8275</v>
      </c>
      <c r="H31" s="37"/>
      <c r="I31" s="36" t="s">
        <v>387</v>
      </c>
      <c r="J31" s="66">
        <f>J30+J29+J28</f>
        <v>56393</v>
      </c>
      <c r="K31" s="39">
        <f>SUM(K28:K30)</f>
        <v>57184</v>
      </c>
    </row>
    <row r="32" spans="1:12">
      <c r="A32" s="33" t="s">
        <v>119</v>
      </c>
      <c r="B32" s="65">
        <f>9000+2000+20192.4+5500+2000</f>
        <v>38692.400000000001</v>
      </c>
      <c r="C32" s="35">
        <f>9000+2000+20193+5500+2000</f>
        <v>38693</v>
      </c>
      <c r="D32" s="24"/>
      <c r="E32" s="33" t="s">
        <v>119</v>
      </c>
      <c r="F32" s="65">
        <v>500</v>
      </c>
      <c r="G32" s="35">
        <v>500</v>
      </c>
      <c r="H32" s="26"/>
      <c r="I32" s="36"/>
      <c r="J32" s="34"/>
      <c r="K32" s="35"/>
    </row>
    <row r="33" spans="1:12">
      <c r="A33" s="36" t="s">
        <v>388</v>
      </c>
      <c r="B33" s="67">
        <f>B32+B31</f>
        <v>193953.61000000002</v>
      </c>
      <c r="C33" s="42">
        <f>SUM(C31:C32)</f>
        <v>200291</v>
      </c>
      <c r="D33" s="24"/>
      <c r="E33" s="36" t="s">
        <v>389</v>
      </c>
      <c r="F33" s="67">
        <f>F32+F31</f>
        <v>8775</v>
      </c>
      <c r="G33" s="42">
        <f>SUM(G31:G32)</f>
        <v>8775</v>
      </c>
      <c r="H33" s="26"/>
      <c r="I33" s="47" t="s">
        <v>390</v>
      </c>
      <c r="J33" s="66">
        <v>4925</v>
      </c>
      <c r="K33" s="39">
        <v>4925</v>
      </c>
    </row>
    <row r="34" spans="1:12">
      <c r="A34" s="41"/>
      <c r="B34" s="38"/>
      <c r="C34" s="39"/>
      <c r="D34" s="24"/>
      <c r="E34" s="33"/>
      <c r="F34" s="48"/>
      <c r="G34" s="49"/>
      <c r="H34" s="26"/>
      <c r="I34" s="27"/>
      <c r="J34" s="34"/>
      <c r="K34" s="35"/>
    </row>
    <row r="35" spans="1:12">
      <c r="A35" s="36" t="s">
        <v>391</v>
      </c>
      <c r="B35" s="66">
        <v>45000</v>
      </c>
      <c r="C35" s="39">
        <v>50000</v>
      </c>
      <c r="D35" s="24"/>
      <c r="E35" s="27" t="s">
        <v>116</v>
      </c>
      <c r="F35" s="65">
        <v>750</v>
      </c>
      <c r="G35" s="35">
        <v>750</v>
      </c>
      <c r="H35" s="26"/>
      <c r="I35" s="33" t="s">
        <v>119</v>
      </c>
      <c r="J35" s="65">
        <v>2535</v>
      </c>
      <c r="K35" s="35">
        <v>2535</v>
      </c>
    </row>
    <row r="36" spans="1:12">
      <c r="A36" s="33"/>
      <c r="B36" s="34"/>
      <c r="C36" s="35"/>
      <c r="D36" s="24"/>
      <c r="E36" s="36" t="s">
        <v>392</v>
      </c>
      <c r="F36" s="66">
        <f>F35</f>
        <v>750</v>
      </c>
      <c r="G36" s="39">
        <f>G35</f>
        <v>750</v>
      </c>
      <c r="H36" s="37"/>
      <c r="I36" s="36" t="s">
        <v>393</v>
      </c>
      <c r="J36" s="66">
        <f>J35</f>
        <v>2535</v>
      </c>
      <c r="K36" s="39">
        <f>K35</f>
        <v>2535</v>
      </c>
    </row>
    <row r="37" spans="1:12">
      <c r="A37" s="36" t="s">
        <v>37</v>
      </c>
      <c r="B37" s="66">
        <v>4000</v>
      </c>
      <c r="C37" s="39">
        <v>2500</v>
      </c>
      <c r="D37" s="24"/>
      <c r="E37" s="27"/>
      <c r="F37" s="34"/>
      <c r="G37" s="35"/>
      <c r="H37" s="37"/>
      <c r="I37" s="27"/>
      <c r="J37" s="34"/>
      <c r="K37" s="35"/>
    </row>
    <row r="38" spans="1:12">
      <c r="A38" s="36"/>
      <c r="B38" s="38"/>
      <c r="C38" s="39"/>
      <c r="D38" s="24"/>
      <c r="E38" s="36" t="s">
        <v>394</v>
      </c>
      <c r="F38" s="66">
        <v>11440</v>
      </c>
      <c r="G38" s="39">
        <v>11440</v>
      </c>
      <c r="H38" s="26"/>
      <c r="I38" s="36" t="s">
        <v>395</v>
      </c>
      <c r="J38" s="66">
        <v>250</v>
      </c>
      <c r="K38" s="39">
        <v>250</v>
      </c>
    </row>
    <row r="39" spans="1:12">
      <c r="A39" s="33" t="s">
        <v>396</v>
      </c>
      <c r="B39" s="65">
        <v>56304</v>
      </c>
      <c r="C39" s="35">
        <v>57994</v>
      </c>
      <c r="D39" s="24"/>
      <c r="E39" s="50"/>
      <c r="F39" s="34"/>
      <c r="G39" s="35"/>
      <c r="H39" s="26"/>
      <c r="I39" s="36"/>
      <c r="J39" s="38"/>
      <c r="K39" s="39"/>
    </row>
    <row r="40" spans="1:12">
      <c r="A40" s="33" t="s">
        <v>382</v>
      </c>
      <c r="B40" s="65">
        <v>19079</v>
      </c>
      <c r="C40" s="35">
        <v>19652</v>
      </c>
      <c r="D40" s="24"/>
      <c r="E40" s="33" t="s">
        <v>397</v>
      </c>
      <c r="F40" s="65">
        <v>0</v>
      </c>
      <c r="G40" s="35">
        <v>7800</v>
      </c>
      <c r="H40" s="26"/>
      <c r="I40" s="36" t="s">
        <v>398</v>
      </c>
      <c r="J40" s="66">
        <v>3840</v>
      </c>
      <c r="K40" s="39">
        <v>3840</v>
      </c>
    </row>
    <row r="41" spans="1:12">
      <c r="A41" s="33" t="s">
        <v>119</v>
      </c>
      <c r="B41" s="65">
        <f>792+3495</f>
        <v>4287</v>
      </c>
      <c r="C41" s="35">
        <f>792+3495</f>
        <v>4287</v>
      </c>
      <c r="D41" s="24"/>
      <c r="E41" s="33" t="s">
        <v>119</v>
      </c>
      <c r="F41" s="65">
        <v>10974</v>
      </c>
      <c r="G41" s="35">
        <f>540+2634</f>
        <v>3174</v>
      </c>
      <c r="H41" s="37"/>
      <c r="I41" s="27"/>
      <c r="J41" s="38"/>
      <c r="K41" s="39"/>
    </row>
    <row r="42" spans="1:12" ht="15" thickBot="1">
      <c r="A42" s="36" t="s">
        <v>399</v>
      </c>
      <c r="B42" s="66">
        <f>SUM(B39:B41)</f>
        <v>79670</v>
      </c>
      <c r="C42" s="39">
        <f>SUM(C39:C41)</f>
        <v>81933</v>
      </c>
      <c r="D42" s="24"/>
      <c r="E42" s="36" t="s">
        <v>400</v>
      </c>
      <c r="F42" s="67">
        <f>F41+F40</f>
        <v>10974</v>
      </c>
      <c r="G42" s="42">
        <f>SUM(G40:G41)</f>
        <v>10974</v>
      </c>
      <c r="H42" s="37"/>
      <c r="I42" s="43" t="s">
        <v>401</v>
      </c>
      <c r="J42" s="79">
        <f>J40+J38+J36+J33+J31+J26</f>
        <v>343482</v>
      </c>
      <c r="K42" s="44">
        <f>K40+K38+K36+K33+K31+K26</f>
        <v>348384</v>
      </c>
    </row>
    <row r="43" spans="1:12" ht="15" thickBot="1">
      <c r="A43" s="27"/>
      <c r="B43" s="34"/>
      <c r="C43" s="35"/>
      <c r="D43" s="24"/>
      <c r="E43" s="27"/>
      <c r="F43" s="34"/>
      <c r="G43" s="35"/>
      <c r="H43" s="37"/>
      <c r="I43" s="51"/>
      <c r="J43" s="26"/>
      <c r="K43" s="34"/>
      <c r="L43" s="34"/>
    </row>
    <row r="44" spans="1:12">
      <c r="A44" s="33" t="s">
        <v>18</v>
      </c>
      <c r="B44" s="65">
        <v>7948</v>
      </c>
      <c r="C44" s="35">
        <v>7948</v>
      </c>
      <c r="D44" s="24"/>
      <c r="E44" s="33" t="s">
        <v>0</v>
      </c>
      <c r="F44" s="65">
        <v>900</v>
      </c>
      <c r="G44" s="35">
        <v>900</v>
      </c>
      <c r="H44" s="26"/>
      <c r="I44" s="22" t="s">
        <v>402</v>
      </c>
      <c r="J44" s="23"/>
      <c r="K44" s="52"/>
    </row>
    <row r="45" spans="1:12">
      <c r="A45" s="33" t="s">
        <v>119</v>
      </c>
      <c r="B45" s="65">
        <f>3750+891</f>
        <v>4641</v>
      </c>
      <c r="C45" s="35">
        <f>3750+891</f>
        <v>4641</v>
      </c>
      <c r="D45" s="24"/>
      <c r="E45" s="33" t="s">
        <v>119</v>
      </c>
      <c r="F45" s="65">
        <v>19650</v>
      </c>
      <c r="G45" s="35">
        <f>12350+6000+500+800</f>
        <v>19650</v>
      </c>
      <c r="H45" s="26"/>
      <c r="I45" s="27"/>
      <c r="J45" s="26"/>
      <c r="K45" s="39"/>
    </row>
    <row r="46" spans="1:12">
      <c r="A46" s="36" t="s">
        <v>403</v>
      </c>
      <c r="B46" s="66">
        <f>B44+B45</f>
        <v>12589</v>
      </c>
      <c r="C46" s="39">
        <f>SUM(C44:C45)</f>
        <v>12589</v>
      </c>
      <c r="D46" s="24"/>
      <c r="E46" s="36" t="s">
        <v>404</v>
      </c>
      <c r="F46" s="66">
        <f>F45+F44</f>
        <v>20550</v>
      </c>
      <c r="G46" s="39">
        <f>SUM(G44:G45)</f>
        <v>20550</v>
      </c>
      <c r="H46" s="26"/>
      <c r="I46" s="36" t="s">
        <v>405</v>
      </c>
      <c r="J46" s="66">
        <v>1047111</v>
      </c>
      <c r="K46" s="39">
        <f>715211+59000+20057+125000+38462+10000</f>
        <v>967730</v>
      </c>
    </row>
    <row r="47" spans="1:12">
      <c r="A47" s="27"/>
      <c r="B47" s="38"/>
      <c r="C47" s="39"/>
      <c r="D47" s="24"/>
      <c r="E47" s="27"/>
      <c r="F47" s="34"/>
      <c r="G47" s="35"/>
      <c r="H47" s="37"/>
      <c r="I47" s="36"/>
      <c r="J47" s="34"/>
      <c r="K47" s="35"/>
    </row>
    <row r="48" spans="1:12">
      <c r="A48" s="33" t="s">
        <v>116</v>
      </c>
      <c r="B48" s="65">
        <v>1600</v>
      </c>
      <c r="C48" s="35">
        <v>1600</v>
      </c>
      <c r="D48" s="24"/>
      <c r="E48" s="36" t="s">
        <v>406</v>
      </c>
      <c r="F48" s="67">
        <v>250</v>
      </c>
      <c r="G48" s="42">
        <v>250</v>
      </c>
      <c r="H48" s="26"/>
      <c r="I48" s="36" t="s">
        <v>407</v>
      </c>
      <c r="J48" s="66">
        <v>76686</v>
      </c>
      <c r="K48" s="39">
        <f>10729+885+2993+15125+11540+3218+3750+5625+25625+27500</f>
        <v>106990</v>
      </c>
    </row>
    <row r="49" spans="1:13">
      <c r="A49" s="33" t="s">
        <v>119</v>
      </c>
      <c r="B49" s="65">
        <v>3475</v>
      </c>
      <c r="C49" s="35">
        <f>300+3175</f>
        <v>3475</v>
      </c>
      <c r="D49" s="24"/>
      <c r="E49" s="27"/>
      <c r="F49" s="34"/>
      <c r="G49" s="35"/>
      <c r="H49" s="26"/>
      <c r="I49" s="27"/>
      <c r="J49" s="38"/>
      <c r="K49" s="39"/>
    </row>
    <row r="50" spans="1:13" ht="15" thickBot="1">
      <c r="A50" s="36" t="s">
        <v>408</v>
      </c>
      <c r="B50" s="66">
        <f>B49+B48</f>
        <v>5075</v>
      </c>
      <c r="C50" s="39">
        <f>SUM(C48:C49)</f>
        <v>5075</v>
      </c>
      <c r="D50" s="24"/>
      <c r="E50" s="36" t="s">
        <v>409</v>
      </c>
      <c r="F50" s="67">
        <v>400</v>
      </c>
      <c r="G50" s="42">
        <v>400</v>
      </c>
      <c r="H50" s="26"/>
      <c r="I50" s="43" t="s">
        <v>410</v>
      </c>
      <c r="J50" s="82">
        <f>J48+J46</f>
        <v>1123797</v>
      </c>
      <c r="K50" s="53">
        <f>K48+K46</f>
        <v>1074720</v>
      </c>
    </row>
    <row r="51" spans="1:13" ht="15" thickBot="1">
      <c r="A51" s="36"/>
      <c r="B51" s="38"/>
      <c r="C51" s="39"/>
      <c r="D51" s="24"/>
      <c r="E51" s="27"/>
      <c r="F51" s="34"/>
      <c r="G51" s="35"/>
      <c r="H51" s="37"/>
      <c r="I51" s="51"/>
      <c r="J51" s="26"/>
      <c r="K51" s="34"/>
      <c r="L51" s="34"/>
    </row>
    <row r="52" spans="1:13" ht="15" thickBot="1">
      <c r="A52" s="33" t="s">
        <v>411</v>
      </c>
      <c r="B52" s="65">
        <v>600</v>
      </c>
      <c r="C52" s="35">
        <v>600</v>
      </c>
      <c r="D52" s="24"/>
      <c r="E52" s="54" t="s">
        <v>412</v>
      </c>
      <c r="F52" s="80">
        <f>F50+F48+F46+F42+F38+F36+F33+F29+F25+F17+F14+F10+F6+F21</f>
        <v>2742076</v>
      </c>
      <c r="G52" s="55">
        <f>G50+G48+G46+G42+G38+G36+G33+G29+G25+G17+G14+G10+G6+G21</f>
        <v>2875756</v>
      </c>
      <c r="H52" s="26"/>
      <c r="I52" s="22" t="s">
        <v>413</v>
      </c>
      <c r="J52" s="23"/>
      <c r="K52" s="71"/>
    </row>
    <row r="53" spans="1:13" ht="15" thickBot="1">
      <c r="A53" s="33" t="s">
        <v>119</v>
      </c>
      <c r="B53" s="65">
        <v>297</v>
      </c>
      <c r="C53" s="35">
        <v>297</v>
      </c>
      <c r="D53" s="24"/>
      <c r="E53" s="45"/>
      <c r="F53" s="37"/>
      <c r="G53" s="38"/>
      <c r="H53" s="38"/>
      <c r="I53" s="33"/>
      <c r="J53" s="38"/>
      <c r="K53" s="39"/>
    </row>
    <row r="54" spans="1:13" ht="15.6">
      <c r="A54" s="36" t="s">
        <v>414</v>
      </c>
      <c r="B54" s="67">
        <f>B53+B52</f>
        <v>897</v>
      </c>
      <c r="C54" s="42">
        <f>SUM(C52:C53)</f>
        <v>897</v>
      </c>
      <c r="D54" s="24"/>
      <c r="E54" s="22" t="s">
        <v>415</v>
      </c>
      <c r="F54" s="46"/>
      <c r="G54" s="69"/>
      <c r="H54" s="75"/>
      <c r="I54" s="36" t="s">
        <v>416</v>
      </c>
      <c r="J54" s="66">
        <v>911521</v>
      </c>
      <c r="K54" s="39">
        <v>957097</v>
      </c>
    </row>
    <row r="55" spans="1:13">
      <c r="A55" s="33"/>
      <c r="B55" s="34"/>
      <c r="C55" s="35"/>
      <c r="D55" s="24"/>
      <c r="E55" s="27"/>
      <c r="F55" s="26"/>
      <c r="G55" s="35"/>
      <c r="H55" s="35"/>
      <c r="I55" s="27"/>
      <c r="J55" s="34"/>
      <c r="K55" s="35"/>
    </row>
    <row r="56" spans="1:13" ht="15" thickBot="1">
      <c r="A56" s="27" t="s">
        <v>417</v>
      </c>
      <c r="B56" s="65">
        <v>2340</v>
      </c>
      <c r="C56" s="35">
        <v>2340</v>
      </c>
      <c r="D56" s="24"/>
      <c r="E56" s="43" t="s">
        <v>418</v>
      </c>
      <c r="F56" s="79">
        <v>12270774</v>
      </c>
      <c r="G56" s="44">
        <v>12638898</v>
      </c>
      <c r="H56" s="76"/>
      <c r="I56" s="56" t="s">
        <v>419</v>
      </c>
      <c r="J56" s="79">
        <f>J54</f>
        <v>911521</v>
      </c>
      <c r="K56" s="44">
        <f>K54</f>
        <v>957097</v>
      </c>
    </row>
    <row r="57" spans="1:13" ht="15" thickBot="1">
      <c r="A57" s="33" t="s">
        <v>119</v>
      </c>
      <c r="B57" s="65">
        <v>0</v>
      </c>
      <c r="C57" s="35">
        <f>SUM([1]FY2017!AH96:AH97)</f>
        <v>0</v>
      </c>
      <c r="D57" s="24"/>
      <c r="E57" s="45"/>
      <c r="F57" s="64"/>
      <c r="G57" s="38"/>
      <c r="H57" s="38"/>
      <c r="I57" s="26"/>
      <c r="J57" s="57"/>
      <c r="K57" s="58"/>
      <c r="L57" s="34"/>
      <c r="M57" s="34"/>
    </row>
    <row r="58" spans="1:13" ht="15.6">
      <c r="A58" s="36" t="s">
        <v>420</v>
      </c>
      <c r="B58" s="66">
        <f>B57+B56</f>
        <v>2340</v>
      </c>
      <c r="C58" s="39">
        <f>SUM(C56:C57)</f>
        <v>2340</v>
      </c>
      <c r="D58" s="24"/>
      <c r="E58" s="78"/>
      <c r="F58" s="63" t="s">
        <v>421</v>
      </c>
      <c r="G58" s="70"/>
      <c r="H58" s="77"/>
      <c r="I58" s="22" t="s">
        <v>422</v>
      </c>
      <c r="J58" s="23"/>
      <c r="K58" s="71"/>
      <c r="L58" s="83"/>
      <c r="M58" s="74"/>
    </row>
    <row r="59" spans="1:13">
      <c r="A59" s="27"/>
      <c r="B59" s="34"/>
      <c r="C59" s="35"/>
      <c r="D59" s="24"/>
      <c r="E59" s="50"/>
      <c r="F59" s="81"/>
      <c r="G59" s="35"/>
      <c r="H59" s="51"/>
      <c r="I59" s="72"/>
      <c r="J59" s="34"/>
      <c r="K59" s="35"/>
    </row>
    <row r="60" spans="1:13">
      <c r="A60" s="33" t="s">
        <v>423</v>
      </c>
      <c r="B60" s="65">
        <v>1200</v>
      </c>
      <c r="C60" s="35">
        <v>1200</v>
      </c>
      <c r="D60" s="24"/>
      <c r="E60" s="27" t="s">
        <v>396</v>
      </c>
      <c r="F60" s="65">
        <v>1980</v>
      </c>
      <c r="G60" s="35">
        <v>1980</v>
      </c>
      <c r="H60" s="26"/>
      <c r="I60" s="36" t="s">
        <v>424</v>
      </c>
      <c r="J60" s="66">
        <v>30000</v>
      </c>
      <c r="K60" s="39">
        <v>30000</v>
      </c>
    </row>
    <row r="61" spans="1:13">
      <c r="A61" s="33" t="s">
        <v>425</v>
      </c>
      <c r="B61" s="65">
        <v>3330</v>
      </c>
      <c r="C61" s="35">
        <v>3330</v>
      </c>
      <c r="D61" s="24"/>
      <c r="E61" s="33" t="s">
        <v>382</v>
      </c>
      <c r="F61" s="65">
        <f>404816+8000</f>
        <v>412816</v>
      </c>
      <c r="G61" s="59">
        <f>427021+8000</f>
        <v>435021</v>
      </c>
      <c r="H61" s="26"/>
      <c r="I61" s="27"/>
      <c r="J61" s="38"/>
      <c r="K61" s="39"/>
    </row>
    <row r="62" spans="1:13">
      <c r="A62" s="33" t="s">
        <v>119</v>
      </c>
      <c r="B62" s="65">
        <v>2020</v>
      </c>
      <c r="C62" s="35">
        <v>2020</v>
      </c>
      <c r="D62" s="24"/>
      <c r="E62" s="33" t="s">
        <v>119</v>
      </c>
      <c r="F62" s="65">
        <f>6525+1324+90000+3000+25000+4000+1350+2500+1500+5700</f>
        <v>140899</v>
      </c>
      <c r="G62" s="35">
        <v>140899</v>
      </c>
      <c r="H62" s="26"/>
      <c r="I62" s="36" t="s">
        <v>426</v>
      </c>
      <c r="J62" s="66">
        <v>193137</v>
      </c>
      <c r="K62" s="39">
        <v>222500</v>
      </c>
    </row>
    <row r="63" spans="1:13">
      <c r="A63" s="36" t="s">
        <v>427</v>
      </c>
      <c r="B63" s="66">
        <f>B62+B61+B60</f>
        <v>6550</v>
      </c>
      <c r="C63" s="39">
        <f>SUM(C60:C62)</f>
        <v>6550</v>
      </c>
      <c r="D63" s="24"/>
      <c r="E63" s="36" t="s">
        <v>428</v>
      </c>
      <c r="F63" s="66">
        <f>F62+F61+F60</f>
        <v>555695</v>
      </c>
      <c r="G63" s="39">
        <f>SUM(G60:G62)</f>
        <v>577900</v>
      </c>
      <c r="H63" s="26"/>
      <c r="I63" s="27"/>
      <c r="J63" s="38"/>
      <c r="K63" s="39"/>
    </row>
    <row r="64" spans="1:13">
      <c r="A64" s="27"/>
      <c r="B64" s="34"/>
      <c r="C64" s="35"/>
      <c r="D64" s="24"/>
      <c r="E64" s="36"/>
      <c r="F64" s="38"/>
      <c r="G64" s="39"/>
      <c r="H64" s="26"/>
      <c r="I64" s="36" t="s">
        <v>429</v>
      </c>
      <c r="J64" s="66">
        <v>2916000</v>
      </c>
      <c r="K64" s="39">
        <v>2916000</v>
      </c>
    </row>
    <row r="65" spans="1:12">
      <c r="A65" s="33" t="s">
        <v>423</v>
      </c>
      <c r="B65" s="65">
        <v>1400</v>
      </c>
      <c r="C65" s="35">
        <v>1400</v>
      </c>
      <c r="D65" s="24"/>
      <c r="E65" s="33" t="s">
        <v>116</v>
      </c>
      <c r="F65" s="65">
        <v>20000</v>
      </c>
      <c r="G65" s="35">
        <v>20000</v>
      </c>
      <c r="H65" s="26"/>
      <c r="I65" s="36"/>
      <c r="J65" s="38"/>
      <c r="K65" s="39"/>
    </row>
    <row r="66" spans="1:12">
      <c r="A66" s="33" t="s">
        <v>425</v>
      </c>
      <c r="B66" s="65">
        <v>2340</v>
      </c>
      <c r="C66" s="35">
        <v>2340</v>
      </c>
      <c r="D66" s="24"/>
      <c r="E66" s="33" t="s">
        <v>119</v>
      </c>
      <c r="F66" s="65">
        <v>105000</v>
      </c>
      <c r="G66" s="35">
        <f>4000+20000+18000+63000</f>
        <v>105000</v>
      </c>
      <c r="H66" s="26"/>
      <c r="I66" s="36" t="s">
        <v>249</v>
      </c>
      <c r="J66" s="66">
        <v>107000</v>
      </c>
      <c r="K66" s="39">
        <v>107000</v>
      </c>
    </row>
    <row r="67" spans="1:12">
      <c r="A67" s="33" t="s">
        <v>119</v>
      </c>
      <c r="B67" s="65">
        <v>2040</v>
      </c>
      <c r="C67" s="35">
        <v>2040</v>
      </c>
      <c r="D67" s="24"/>
      <c r="E67" s="36" t="s">
        <v>430</v>
      </c>
      <c r="F67" s="66">
        <f>F66+F65</f>
        <v>125000</v>
      </c>
      <c r="G67" s="39">
        <f>SUM(G65:G66)</f>
        <v>125000</v>
      </c>
      <c r="H67" s="26"/>
      <c r="I67" s="33"/>
      <c r="J67" s="38"/>
      <c r="K67" s="39"/>
    </row>
    <row r="68" spans="1:12">
      <c r="A68" s="36" t="s">
        <v>431</v>
      </c>
      <c r="B68" s="66">
        <f>B67+B66+B65</f>
        <v>5780</v>
      </c>
      <c r="C68" s="39">
        <f>SUM(C65:C67)</f>
        <v>5780</v>
      </c>
      <c r="D68" s="24"/>
      <c r="E68" s="27"/>
      <c r="F68" s="34"/>
      <c r="G68" s="35"/>
      <c r="H68" s="37"/>
      <c r="I68" s="36" t="s">
        <v>432</v>
      </c>
      <c r="J68" s="66">
        <v>166000</v>
      </c>
      <c r="K68" s="39">
        <v>166000</v>
      </c>
    </row>
    <row r="69" spans="1:12">
      <c r="A69" s="33"/>
      <c r="B69" s="34"/>
      <c r="C69" s="35"/>
      <c r="D69" s="24"/>
      <c r="E69" s="36" t="s">
        <v>433</v>
      </c>
      <c r="F69" s="66">
        <v>55000</v>
      </c>
      <c r="G69" s="42">
        <v>55000</v>
      </c>
      <c r="H69" s="26"/>
      <c r="I69" s="36"/>
      <c r="J69" s="38"/>
      <c r="K69" s="39"/>
    </row>
    <row r="70" spans="1:12">
      <c r="A70" s="36" t="s">
        <v>434</v>
      </c>
      <c r="B70" s="66">
        <v>44700</v>
      </c>
      <c r="C70" s="39">
        <v>44700</v>
      </c>
      <c r="D70" s="24"/>
      <c r="E70" s="27"/>
      <c r="F70" s="34"/>
      <c r="G70" s="35"/>
      <c r="H70" s="26"/>
      <c r="I70" s="36" t="s">
        <v>441</v>
      </c>
      <c r="J70" s="66">
        <v>466581</v>
      </c>
      <c r="K70" s="39">
        <v>589106</v>
      </c>
    </row>
    <row r="71" spans="1:12">
      <c r="A71" s="33"/>
      <c r="B71" s="34"/>
      <c r="C71" s="35"/>
      <c r="D71" s="24"/>
      <c r="E71" s="33" t="s">
        <v>369</v>
      </c>
      <c r="F71" s="65">
        <v>0</v>
      </c>
      <c r="G71" s="35">
        <v>0</v>
      </c>
      <c r="H71" s="26"/>
      <c r="I71" s="27"/>
      <c r="J71" s="38"/>
      <c r="K71" s="84"/>
      <c r="L71" s="38"/>
    </row>
    <row r="72" spans="1:12" ht="15" thickBot="1">
      <c r="A72" s="36" t="s">
        <v>436</v>
      </c>
      <c r="B72" s="66">
        <v>56400</v>
      </c>
      <c r="C72" s="39">
        <v>57900</v>
      </c>
      <c r="D72" s="24"/>
      <c r="E72" s="33" t="s">
        <v>119</v>
      </c>
      <c r="F72" s="65">
        <v>3350</v>
      </c>
      <c r="G72" s="35">
        <v>3350</v>
      </c>
      <c r="H72" s="26"/>
      <c r="I72" s="43" t="s">
        <v>435</v>
      </c>
      <c r="J72" s="79">
        <f>J68+J66+J64+J62+J60+J70</f>
        <v>3878718</v>
      </c>
      <c r="K72" s="44">
        <f>K68+K66+K64+K62+K60+K70</f>
        <v>4030606</v>
      </c>
      <c r="L72" s="34"/>
    </row>
    <row r="73" spans="1:12">
      <c r="A73" s="27"/>
      <c r="B73" s="34"/>
      <c r="C73" s="35"/>
      <c r="D73" s="24"/>
      <c r="E73" s="36" t="s">
        <v>437</v>
      </c>
      <c r="F73" s="67">
        <f>F72+F71</f>
        <v>3350</v>
      </c>
      <c r="G73" s="42">
        <f>SUM(G71:G72)</f>
        <v>3350</v>
      </c>
      <c r="H73" s="37"/>
      <c r="I73" s="45"/>
      <c r="J73" s="37"/>
      <c r="K73" s="38"/>
      <c r="L73" s="38"/>
    </row>
    <row r="74" spans="1:12" ht="15" thickBot="1">
      <c r="A74" s="60" t="s">
        <v>438</v>
      </c>
      <c r="B74" s="79">
        <f>(B6+B10+B14+B18+B20+B24+B29+B33+B35+B37+B42+B46+B50+B54+B58+B63+B68+B70+B72)</f>
        <v>1012790.61</v>
      </c>
      <c r="C74" s="44">
        <f>(C6+C10+C14+C18+C20+C24+C29+C33+C35+C37+C42+C46+C50+C54+C58+C63+C68+C70+C72)</f>
        <v>1003260</v>
      </c>
      <c r="D74" s="24"/>
      <c r="E74" s="36"/>
      <c r="F74" s="26"/>
      <c r="G74" s="35"/>
      <c r="H74" s="26"/>
      <c r="I74" s="51"/>
      <c r="J74" s="26"/>
      <c r="K74" s="34"/>
      <c r="L74" s="38"/>
    </row>
    <row r="75" spans="1:12" ht="15" thickBot="1">
      <c r="A75" s="51"/>
      <c r="B75" s="26"/>
      <c r="C75" s="34"/>
      <c r="D75" s="34"/>
      <c r="E75" s="43" t="s">
        <v>439</v>
      </c>
      <c r="F75" s="80">
        <f>F63+F67+F69+F73</f>
        <v>739045</v>
      </c>
      <c r="G75" s="55">
        <f>G73+G69+G67+G63</f>
        <v>761250</v>
      </c>
      <c r="H75" s="37"/>
      <c r="I75" s="45"/>
      <c r="J75" s="37"/>
      <c r="K75" s="38"/>
    </row>
    <row r="76" spans="1:12">
      <c r="I76" s="61"/>
      <c r="J76" s="26"/>
      <c r="K76" s="38"/>
    </row>
    <row r="77" spans="1:12">
      <c r="I77" s="62" t="s">
        <v>440</v>
      </c>
      <c r="J77" s="66">
        <f>B74+F52+F56+F75+J42+J50+J56+J72+J19</f>
        <v>23660610.609999999</v>
      </c>
      <c r="K77" s="38">
        <f>C74+G52+G56+G75+K19+K42+K50+K56+K72</f>
        <v>24394708</v>
      </c>
    </row>
    <row r="85" spans="11:11">
      <c r="K85" s="85"/>
    </row>
    <row r="86" spans="11:11">
      <c r="K86" s="85"/>
    </row>
  </sheetData>
  <mergeCells count="8">
    <mergeCell ref="I52:K52"/>
    <mergeCell ref="I58:K58"/>
    <mergeCell ref="E54:G54"/>
    <mergeCell ref="A2:C2"/>
    <mergeCell ref="E2:G2"/>
    <mergeCell ref="I2:K2"/>
    <mergeCell ref="I21:K21"/>
    <mergeCell ref="I44:J44"/>
  </mergeCells>
  <pageMargins left="0.25" right="0.25" top="0.75" bottom="0.75" header="0.3" footer="0.3"/>
  <pageSetup scale="6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E757-7290-4267-A600-64B171BEAE46}">
  <sheetPr>
    <pageSetUpPr fitToPage="1"/>
  </sheetPr>
  <dimension ref="A1:H551"/>
  <sheetViews>
    <sheetView topLeftCell="A534" zoomScale="115" zoomScaleNormal="115" workbookViewId="0">
      <selection activeCell="F544" sqref="F544"/>
    </sheetView>
  </sheetViews>
  <sheetFormatPr defaultRowHeight="14.4"/>
  <cols>
    <col min="1" max="1" width="5.44140625" customWidth="1"/>
    <col min="2" max="2" width="5" customWidth="1"/>
    <col min="3" max="3" width="50.77734375" customWidth="1"/>
    <col min="4" max="4" width="14.21875" style="15" customWidth="1"/>
    <col min="5" max="5" width="15" style="15" customWidth="1"/>
    <col min="6" max="6" width="19" style="18" customWidth="1"/>
    <col min="7" max="7" width="15.5546875" customWidth="1"/>
    <col min="8" max="8" width="10" customWidth="1"/>
    <col min="10" max="10" width="17.6640625" customWidth="1"/>
  </cols>
  <sheetData>
    <row r="1" spans="1:6">
      <c r="D1">
        <v>2019</v>
      </c>
      <c r="E1">
        <v>2020</v>
      </c>
      <c r="F1" s="18" t="s">
        <v>354</v>
      </c>
    </row>
    <row r="2" spans="1:6">
      <c r="A2" s="1"/>
      <c r="B2" s="2"/>
      <c r="C2" s="13" t="s">
        <v>2</v>
      </c>
      <c r="D2" s="16">
        <v>200</v>
      </c>
      <c r="E2" s="16">
        <v>200</v>
      </c>
      <c r="F2" s="18">
        <v>0</v>
      </c>
    </row>
    <row r="3" spans="1:6">
      <c r="A3" s="1"/>
      <c r="B3" s="5"/>
      <c r="C3" s="5"/>
    </row>
    <row r="4" spans="1:6">
      <c r="A4" s="1">
        <v>100</v>
      </c>
      <c r="B4" s="3">
        <v>122</v>
      </c>
      <c r="C4" s="5" t="s">
        <v>0</v>
      </c>
      <c r="D4" s="15">
        <v>5850</v>
      </c>
      <c r="E4" s="15">
        <v>5850</v>
      </c>
    </row>
    <row r="5" spans="1:6">
      <c r="A5" s="1">
        <v>100</v>
      </c>
      <c r="B5" s="3">
        <v>122</v>
      </c>
      <c r="C5" s="5" t="s">
        <v>3</v>
      </c>
      <c r="D5" s="15">
        <v>3000</v>
      </c>
      <c r="E5" s="15">
        <v>3000</v>
      </c>
    </row>
    <row r="6" spans="1:6">
      <c r="A6" s="1">
        <v>100</v>
      </c>
      <c r="B6" s="3">
        <v>122</v>
      </c>
      <c r="C6" s="5" t="s">
        <v>4</v>
      </c>
      <c r="D6" s="15">
        <v>1500</v>
      </c>
      <c r="E6" s="15">
        <v>1500</v>
      </c>
    </row>
    <row r="7" spans="1:6">
      <c r="A7" s="1">
        <v>100</v>
      </c>
      <c r="B7" s="3">
        <v>122</v>
      </c>
      <c r="C7" s="5" t="s">
        <v>5</v>
      </c>
      <c r="D7" s="15">
        <v>1440</v>
      </c>
      <c r="E7" s="15">
        <v>1440</v>
      </c>
    </row>
    <row r="8" spans="1:6">
      <c r="A8" s="1"/>
      <c r="B8" s="2"/>
      <c r="C8" s="4" t="s">
        <v>6</v>
      </c>
      <c r="D8" s="16">
        <f>D4+D5+D6+D7</f>
        <v>11790</v>
      </c>
      <c r="E8" s="16">
        <f>SUM(E4:E7)</f>
        <v>11790</v>
      </c>
      <c r="F8" s="18">
        <v>0</v>
      </c>
    </row>
    <row r="9" spans="1:6">
      <c r="A9" s="1"/>
      <c r="B9" s="5"/>
      <c r="C9" s="5"/>
    </row>
    <row r="10" spans="1:6">
      <c r="A10" s="1">
        <v>100</v>
      </c>
      <c r="B10" s="3">
        <v>123</v>
      </c>
      <c r="C10" s="5" t="s">
        <v>7</v>
      </c>
      <c r="D10" s="15">
        <v>88326</v>
      </c>
      <c r="E10" s="15">
        <v>90976</v>
      </c>
    </row>
    <row r="11" spans="1:6">
      <c r="A11" s="1">
        <v>100</v>
      </c>
      <c r="B11" s="3">
        <v>123</v>
      </c>
      <c r="C11" s="5" t="s">
        <v>8</v>
      </c>
      <c r="D11" s="15">
        <v>47736</v>
      </c>
      <c r="E11" s="15">
        <v>49346</v>
      </c>
    </row>
    <row r="12" spans="1:6">
      <c r="A12" s="1">
        <v>100</v>
      </c>
      <c r="B12" s="3">
        <v>123</v>
      </c>
      <c r="C12" s="5" t="s">
        <v>9</v>
      </c>
      <c r="D12" s="15">
        <v>743</v>
      </c>
      <c r="E12" s="15">
        <v>743</v>
      </c>
    </row>
    <row r="13" spans="1:6">
      <c r="A13" s="1">
        <v>100</v>
      </c>
      <c r="B13" s="3">
        <v>123</v>
      </c>
      <c r="C13" s="5" t="s">
        <v>3</v>
      </c>
      <c r="D13" s="15">
        <v>15000</v>
      </c>
      <c r="E13" s="15">
        <v>15000</v>
      </c>
    </row>
    <row r="14" spans="1:6">
      <c r="A14" s="1">
        <v>100</v>
      </c>
      <c r="B14" s="3">
        <v>123</v>
      </c>
      <c r="C14" s="5" t="s">
        <v>10</v>
      </c>
      <c r="D14" s="15">
        <v>3500</v>
      </c>
      <c r="E14" s="15">
        <v>3500</v>
      </c>
    </row>
    <row r="15" spans="1:6">
      <c r="A15" s="1">
        <v>100</v>
      </c>
      <c r="B15" s="3">
        <v>123</v>
      </c>
      <c r="C15" s="5" t="s">
        <v>11</v>
      </c>
      <c r="D15" s="15">
        <v>16500</v>
      </c>
      <c r="E15" s="15">
        <v>16500</v>
      </c>
    </row>
    <row r="16" spans="1:6">
      <c r="A16" s="1">
        <v>100</v>
      </c>
      <c r="B16" s="3">
        <v>123</v>
      </c>
      <c r="C16" s="5" t="s">
        <v>12</v>
      </c>
      <c r="D16" s="15">
        <v>3000</v>
      </c>
      <c r="E16" s="15">
        <v>3000</v>
      </c>
    </row>
    <row r="17" spans="1:6">
      <c r="A17" s="1">
        <v>100</v>
      </c>
      <c r="B17" s="3">
        <v>123</v>
      </c>
      <c r="C17" s="5" t="s">
        <v>349</v>
      </c>
      <c r="D17" s="15">
        <v>50000</v>
      </c>
      <c r="E17" s="15">
        <v>50000</v>
      </c>
    </row>
    <row r="18" spans="1:6">
      <c r="A18" s="1">
        <v>100</v>
      </c>
      <c r="B18" s="3">
        <v>123</v>
      </c>
      <c r="C18" s="5" t="s">
        <v>5</v>
      </c>
      <c r="D18" s="15">
        <v>2500</v>
      </c>
      <c r="E18" s="15">
        <v>2500</v>
      </c>
      <c r="F18" s="19">
        <f>F19/D19</f>
        <v>1.8741338729900355E-2</v>
      </c>
    </row>
    <row r="19" spans="1:6">
      <c r="A19" s="1"/>
      <c r="B19" s="2"/>
      <c r="C19" s="4" t="s">
        <v>13</v>
      </c>
      <c r="D19" s="16">
        <f>D10+D11+D12+D13+D14+D15+D16+D17+D18</f>
        <v>227305</v>
      </c>
      <c r="E19" s="16">
        <f>SUM(E10:E18)</f>
        <v>231565</v>
      </c>
      <c r="F19" s="18">
        <f>E19-D19</f>
        <v>4260</v>
      </c>
    </row>
    <row r="20" spans="1:6">
      <c r="A20" s="1"/>
      <c r="B20" s="5"/>
      <c r="C20" s="5"/>
    </row>
    <row r="21" spans="1:6">
      <c r="A21" s="1">
        <v>100</v>
      </c>
      <c r="B21" s="3">
        <v>131</v>
      </c>
      <c r="C21" s="5" t="s">
        <v>14</v>
      </c>
      <c r="D21" s="15">
        <v>2100</v>
      </c>
      <c r="E21" s="15">
        <v>2100</v>
      </c>
    </row>
    <row r="22" spans="1:6">
      <c r="A22" s="1">
        <v>100</v>
      </c>
      <c r="B22" s="3">
        <v>131</v>
      </c>
      <c r="C22" s="5" t="s">
        <v>1</v>
      </c>
    </row>
    <row r="23" spans="1:6">
      <c r="A23" s="1">
        <v>100</v>
      </c>
      <c r="B23" s="3">
        <v>131</v>
      </c>
      <c r="C23" s="5" t="s">
        <v>4</v>
      </c>
      <c r="D23" s="15">
        <v>200</v>
      </c>
      <c r="E23" s="15">
        <v>200</v>
      </c>
    </row>
    <row r="24" spans="1:6">
      <c r="A24" s="1"/>
      <c r="B24" s="2"/>
      <c r="C24" s="4" t="s">
        <v>15</v>
      </c>
      <c r="D24" s="16">
        <v>2300</v>
      </c>
      <c r="E24" s="16">
        <f>SUM(E21:E23)</f>
        <v>2300</v>
      </c>
      <c r="F24" s="18">
        <v>0</v>
      </c>
    </row>
    <row r="25" spans="1:6">
      <c r="A25" s="1"/>
      <c r="B25" s="5"/>
      <c r="C25" s="5"/>
    </row>
    <row r="26" spans="1:6">
      <c r="A26" s="1">
        <v>100</v>
      </c>
      <c r="B26" s="3">
        <v>132</v>
      </c>
      <c r="C26" s="5" t="s">
        <v>16</v>
      </c>
      <c r="D26" s="15">
        <v>75000</v>
      </c>
      <c r="E26" s="15">
        <v>25000</v>
      </c>
    </row>
    <row r="27" spans="1:6">
      <c r="A27" s="1"/>
      <c r="B27" s="2"/>
      <c r="C27" s="4" t="s">
        <v>17</v>
      </c>
      <c r="D27" s="16">
        <v>75000</v>
      </c>
      <c r="E27" s="16">
        <v>25000</v>
      </c>
      <c r="F27" s="18">
        <v>-50000</v>
      </c>
    </row>
    <row r="28" spans="1:6">
      <c r="A28" s="1"/>
      <c r="B28" s="5"/>
      <c r="C28" s="5"/>
    </row>
    <row r="29" spans="1:6">
      <c r="A29" s="1">
        <v>100</v>
      </c>
      <c r="B29" s="3">
        <v>135</v>
      </c>
      <c r="C29" s="5" t="s">
        <v>18</v>
      </c>
      <c r="D29" s="15">
        <f>38817</f>
        <v>38817</v>
      </c>
      <c r="E29" s="15">
        <v>55020</v>
      </c>
    </row>
    <row r="30" spans="1:6">
      <c r="A30" s="1">
        <v>100</v>
      </c>
      <c r="B30" s="3">
        <v>135</v>
      </c>
      <c r="C30" s="5" t="s">
        <v>8</v>
      </c>
      <c r="D30" s="15">
        <v>35288</v>
      </c>
      <c r="E30" s="15">
        <v>37019</v>
      </c>
    </row>
    <row r="31" spans="1:6">
      <c r="A31" s="1">
        <v>100</v>
      </c>
      <c r="B31" s="3">
        <v>135</v>
      </c>
      <c r="C31" s="5" t="s">
        <v>19</v>
      </c>
      <c r="D31" s="15">
        <v>500</v>
      </c>
      <c r="E31" s="15">
        <v>500</v>
      </c>
    </row>
    <row r="32" spans="1:6">
      <c r="A32" s="1">
        <v>100</v>
      </c>
      <c r="B32" s="3">
        <v>135</v>
      </c>
      <c r="C32" s="5" t="s">
        <v>20</v>
      </c>
      <c r="D32" s="15">
        <v>28000</v>
      </c>
      <c r="E32" s="15">
        <v>29000</v>
      </c>
    </row>
    <row r="33" spans="1:6">
      <c r="A33" s="1">
        <v>100</v>
      </c>
      <c r="B33" s="3">
        <v>135</v>
      </c>
      <c r="C33" s="5" t="s">
        <v>5</v>
      </c>
      <c r="D33" s="15">
        <v>908</v>
      </c>
      <c r="E33" s="15">
        <v>908</v>
      </c>
      <c r="F33" s="19">
        <f>F34/D34</f>
        <v>0.18291422333426718</v>
      </c>
    </row>
    <row r="34" spans="1:6">
      <c r="A34" s="1"/>
      <c r="B34" s="2"/>
      <c r="C34" s="4" t="s">
        <v>21</v>
      </c>
      <c r="D34" s="16">
        <f>D29+D30+D31+D32+D33</f>
        <v>103513</v>
      </c>
      <c r="E34" s="16">
        <f>SUM(E29:E33)</f>
        <v>122447</v>
      </c>
      <c r="F34" s="18">
        <f>E34-D34</f>
        <v>18934</v>
      </c>
    </row>
    <row r="35" spans="1:6">
      <c r="A35" s="1"/>
      <c r="B35" s="5"/>
      <c r="C35" s="5"/>
    </row>
    <row r="36" spans="1:6">
      <c r="A36" s="1">
        <v>100</v>
      </c>
      <c r="B36" s="3">
        <v>141</v>
      </c>
      <c r="C36" s="5" t="s">
        <v>7</v>
      </c>
      <c r="D36" s="15">
        <v>109409</v>
      </c>
      <c r="E36" s="15">
        <v>113084</v>
      </c>
    </row>
    <row r="37" spans="1:6">
      <c r="A37" s="1">
        <v>100</v>
      </c>
      <c r="B37" s="3">
        <v>141</v>
      </c>
      <c r="C37" s="5" t="s">
        <v>22</v>
      </c>
      <c r="D37" s="15">
        <v>1665</v>
      </c>
      <c r="E37" s="15">
        <v>1665</v>
      </c>
    </row>
    <row r="38" spans="1:6">
      <c r="A38" s="1">
        <v>100</v>
      </c>
      <c r="B38" s="3">
        <v>141</v>
      </c>
      <c r="C38" s="5" t="s">
        <v>23</v>
      </c>
      <c r="D38" s="15">
        <v>400</v>
      </c>
      <c r="E38" s="15">
        <v>400</v>
      </c>
    </row>
    <row r="39" spans="1:6">
      <c r="A39" s="1">
        <v>100</v>
      </c>
      <c r="B39" s="3">
        <v>141</v>
      </c>
      <c r="C39" s="5" t="s">
        <v>24</v>
      </c>
      <c r="D39" s="15">
        <v>20150</v>
      </c>
      <c r="E39" s="15">
        <v>20150</v>
      </c>
    </row>
    <row r="40" spans="1:6">
      <c r="A40" s="1">
        <v>100</v>
      </c>
      <c r="B40" s="3">
        <v>141</v>
      </c>
      <c r="C40" s="5" t="s">
        <v>25</v>
      </c>
      <c r="D40" s="15">
        <v>225</v>
      </c>
      <c r="E40" s="15">
        <v>225</v>
      </c>
    </row>
    <row r="41" spans="1:6">
      <c r="A41" s="1">
        <v>100</v>
      </c>
      <c r="B41" s="3">
        <v>141</v>
      </c>
      <c r="C41" s="5" t="s">
        <v>26</v>
      </c>
      <c r="D41" s="15">
        <v>1234</v>
      </c>
      <c r="E41" s="15">
        <v>1234</v>
      </c>
    </row>
    <row r="42" spans="1:6">
      <c r="A42" s="1">
        <v>100</v>
      </c>
      <c r="B42" s="3">
        <v>141</v>
      </c>
      <c r="C42" s="5" t="s">
        <v>27</v>
      </c>
      <c r="D42" s="15">
        <v>1500</v>
      </c>
      <c r="E42" s="15">
        <v>1500</v>
      </c>
    </row>
    <row r="43" spans="1:6">
      <c r="A43" s="1">
        <v>100</v>
      </c>
      <c r="B43" s="3">
        <v>141</v>
      </c>
      <c r="C43" s="5" t="s">
        <v>5</v>
      </c>
      <c r="D43" s="15">
        <v>1145</v>
      </c>
      <c r="E43" s="15">
        <v>1145</v>
      </c>
      <c r="F43" s="19">
        <f>F44/D44</f>
        <v>2.7076211246021456E-2</v>
      </c>
    </row>
    <row r="44" spans="1:6">
      <c r="A44" s="1"/>
      <c r="B44" s="2"/>
      <c r="C44" s="4" t="s">
        <v>28</v>
      </c>
      <c r="D44" s="16">
        <f>D36+D37+D38+D39+D40+D41+D42+D43</f>
        <v>135728</v>
      </c>
      <c r="E44" s="16">
        <f>SUM(E36:E43)</f>
        <v>139403</v>
      </c>
      <c r="F44" s="18">
        <f>E44-D44</f>
        <v>3675</v>
      </c>
    </row>
    <row r="45" spans="1:6">
      <c r="A45" s="1"/>
      <c r="B45" s="5"/>
      <c r="C45" s="5"/>
    </row>
    <row r="46" spans="1:6">
      <c r="A46" s="1">
        <v>100</v>
      </c>
      <c r="B46" s="3">
        <v>145</v>
      </c>
      <c r="C46" s="5" t="s">
        <v>7</v>
      </c>
      <c r="D46" s="15">
        <f>64955.61</f>
        <v>64955.61</v>
      </c>
      <c r="E46" s="15">
        <f>66845</f>
        <v>66845</v>
      </c>
    </row>
    <row r="47" spans="1:6">
      <c r="A47" s="1">
        <v>100</v>
      </c>
      <c r="B47" s="3">
        <v>145</v>
      </c>
      <c r="C47" s="5" t="s">
        <v>29</v>
      </c>
      <c r="D47" s="15">
        <v>90305.600000000006</v>
      </c>
      <c r="E47" s="15">
        <v>94753</v>
      </c>
    </row>
    <row r="48" spans="1:6">
      <c r="A48" s="1">
        <v>100</v>
      </c>
      <c r="B48" s="3">
        <v>145</v>
      </c>
      <c r="C48" s="5" t="s">
        <v>3</v>
      </c>
      <c r="D48" s="15">
        <v>9000</v>
      </c>
      <c r="E48" s="15">
        <v>9000</v>
      </c>
    </row>
    <row r="49" spans="1:6">
      <c r="A49" s="1">
        <v>100</v>
      </c>
      <c r="B49" s="3">
        <v>145</v>
      </c>
      <c r="C49" s="5" t="s">
        <v>30</v>
      </c>
      <c r="D49" s="15">
        <v>2000</v>
      </c>
      <c r="E49" s="15">
        <v>2000</v>
      </c>
    </row>
    <row r="50" spans="1:6">
      <c r="A50" s="1">
        <v>100</v>
      </c>
      <c r="B50" s="3">
        <v>145</v>
      </c>
      <c r="C50" s="5" t="s">
        <v>31</v>
      </c>
      <c r="D50" s="15">
        <v>20192.400000000001</v>
      </c>
      <c r="E50" s="15">
        <v>20193</v>
      </c>
    </row>
    <row r="51" spans="1:6">
      <c r="A51" s="1">
        <v>100</v>
      </c>
      <c r="B51" s="3">
        <v>145</v>
      </c>
      <c r="C51" s="5" t="s">
        <v>32</v>
      </c>
      <c r="D51" s="15">
        <v>5500</v>
      </c>
      <c r="E51" s="15">
        <v>5500</v>
      </c>
    </row>
    <row r="52" spans="1:6">
      <c r="A52" s="1">
        <v>100</v>
      </c>
      <c r="B52" s="3">
        <v>145</v>
      </c>
      <c r="C52" s="5" t="s">
        <v>5</v>
      </c>
      <c r="D52" s="15">
        <v>2000</v>
      </c>
      <c r="E52" s="15">
        <v>2000</v>
      </c>
      <c r="F52" s="19">
        <f>F53/D53</f>
        <v>3.267477207565244E-2</v>
      </c>
    </row>
    <row r="53" spans="1:6">
      <c r="A53" s="1"/>
      <c r="B53" s="2"/>
      <c r="C53" s="4" t="s">
        <v>33</v>
      </c>
      <c r="D53" s="16">
        <f>D46+D47+D48+D49+D50+D51+D52</f>
        <v>193953.61000000002</v>
      </c>
      <c r="E53" s="16">
        <f>SUM(E46:E52)</f>
        <v>200291</v>
      </c>
      <c r="F53" s="18">
        <f>E53-D53</f>
        <v>6337.3899999999849</v>
      </c>
    </row>
    <row r="54" spans="1:6">
      <c r="A54" s="1"/>
      <c r="B54" s="5"/>
      <c r="C54" s="5"/>
    </row>
    <row r="55" spans="1:6">
      <c r="A55" s="1">
        <v>100</v>
      </c>
      <c r="B55" s="3">
        <v>151</v>
      </c>
      <c r="C55" s="5" t="s">
        <v>18</v>
      </c>
      <c r="D55" s="15">
        <v>0</v>
      </c>
      <c r="E55" s="15">
        <v>0</v>
      </c>
    </row>
    <row r="56" spans="1:6">
      <c r="A56" s="1">
        <v>100</v>
      </c>
      <c r="B56" s="3">
        <v>151</v>
      </c>
      <c r="C56" s="5" t="s">
        <v>3</v>
      </c>
      <c r="D56" s="15">
        <v>45000</v>
      </c>
      <c r="E56" s="15">
        <v>50000</v>
      </c>
      <c r="F56" s="19">
        <f>F57/D57</f>
        <v>0.1111111111111111</v>
      </c>
    </row>
    <row r="57" spans="1:6">
      <c r="A57" s="1"/>
      <c r="B57" s="2"/>
      <c r="C57" s="4" t="s">
        <v>34</v>
      </c>
      <c r="D57" s="16">
        <f>D55+D56</f>
        <v>45000</v>
      </c>
      <c r="E57" s="16">
        <f>E56</f>
        <v>50000</v>
      </c>
      <c r="F57" s="18">
        <v>5000</v>
      </c>
    </row>
    <row r="58" spans="1:6">
      <c r="A58" s="1"/>
      <c r="B58" s="5"/>
      <c r="C58" s="5"/>
    </row>
    <row r="59" spans="1:6">
      <c r="A59" s="1">
        <v>100</v>
      </c>
      <c r="B59" s="3">
        <v>155</v>
      </c>
      <c r="C59" s="5" t="s">
        <v>35</v>
      </c>
      <c r="D59" s="15">
        <v>0</v>
      </c>
      <c r="E59" s="15">
        <v>0</v>
      </c>
    </row>
    <row r="60" spans="1:6">
      <c r="A60" s="1"/>
      <c r="B60" s="2"/>
      <c r="C60" s="4" t="s">
        <v>36</v>
      </c>
      <c r="D60" s="16">
        <f>D59</f>
        <v>0</v>
      </c>
      <c r="E60" s="16">
        <f>E59</f>
        <v>0</v>
      </c>
      <c r="F60" s="18">
        <v>0</v>
      </c>
    </row>
    <row r="61" spans="1:6">
      <c r="A61" s="1"/>
      <c r="B61" s="5"/>
      <c r="C61" s="5"/>
    </row>
    <row r="62" spans="1:6">
      <c r="A62" s="1">
        <v>100</v>
      </c>
      <c r="B62" s="3">
        <v>158</v>
      </c>
      <c r="C62" s="5" t="s">
        <v>37</v>
      </c>
      <c r="D62" s="15">
        <v>4000</v>
      </c>
      <c r="E62" s="15">
        <v>2500</v>
      </c>
    </row>
    <row r="63" spans="1:6">
      <c r="A63" s="1"/>
      <c r="B63" s="2"/>
      <c r="C63" s="4" t="s">
        <v>38</v>
      </c>
      <c r="D63" s="16">
        <v>4000</v>
      </c>
      <c r="E63" s="16">
        <v>2500</v>
      </c>
      <c r="F63" s="18">
        <f>E63-D63</f>
        <v>-1500</v>
      </c>
    </row>
    <row r="64" spans="1:6">
      <c r="A64" s="1"/>
      <c r="B64" s="5"/>
      <c r="C64" s="5"/>
    </row>
    <row r="65" spans="1:6">
      <c r="A65" s="1">
        <v>100</v>
      </c>
      <c r="B65" s="3">
        <v>161</v>
      </c>
      <c r="C65" s="5" t="s">
        <v>0</v>
      </c>
      <c r="D65" s="15">
        <v>56304</v>
      </c>
      <c r="E65" s="15">
        <v>57994</v>
      </c>
    </row>
    <row r="66" spans="1:6">
      <c r="A66" s="1">
        <v>100</v>
      </c>
      <c r="B66" s="3">
        <v>161</v>
      </c>
      <c r="C66" s="5" t="s">
        <v>29</v>
      </c>
      <c r="D66" s="15">
        <v>19079</v>
      </c>
      <c r="E66" s="15">
        <v>19652</v>
      </c>
    </row>
    <row r="67" spans="1:6">
      <c r="A67" s="1">
        <v>100</v>
      </c>
      <c r="B67" s="3">
        <v>161</v>
      </c>
      <c r="C67" s="5" t="s">
        <v>3</v>
      </c>
      <c r="D67" s="15">
        <v>792</v>
      </c>
      <c r="E67" s="15">
        <v>792</v>
      </c>
    </row>
    <row r="68" spans="1:6">
      <c r="A68" s="1">
        <v>100</v>
      </c>
      <c r="B68" s="3">
        <v>161</v>
      </c>
      <c r="C68" s="5" t="s">
        <v>40</v>
      </c>
      <c r="D68" s="15">
        <v>3495</v>
      </c>
      <c r="E68" s="15">
        <v>3495</v>
      </c>
      <c r="F68" s="19">
        <f>F69/D69</f>
        <v>2.8404669260700389E-2</v>
      </c>
    </row>
    <row r="69" spans="1:6">
      <c r="A69" s="1"/>
      <c r="B69" s="2"/>
      <c r="C69" s="4" t="s">
        <v>41</v>
      </c>
      <c r="D69" s="16">
        <f>D65+D66+D67+D68</f>
        <v>79670</v>
      </c>
      <c r="E69" s="16">
        <f>SUM(E65:E68)</f>
        <v>81933</v>
      </c>
      <c r="F69" s="18">
        <f>E69-D69</f>
        <v>2263</v>
      </c>
    </row>
    <row r="70" spans="1:6">
      <c r="A70" s="1"/>
      <c r="B70" s="5"/>
      <c r="C70" s="5"/>
    </row>
    <row r="71" spans="1:6">
      <c r="A71" s="1">
        <v>100</v>
      </c>
      <c r="B71" s="3">
        <v>162</v>
      </c>
      <c r="C71" s="5" t="s">
        <v>18</v>
      </c>
      <c r="D71" s="15">
        <v>7948</v>
      </c>
      <c r="E71" s="15">
        <v>7948</v>
      </c>
    </row>
    <row r="72" spans="1:6">
      <c r="A72" s="1">
        <v>100</v>
      </c>
      <c r="B72" s="3">
        <v>162</v>
      </c>
      <c r="C72" s="5" t="s">
        <v>19</v>
      </c>
      <c r="D72" s="15">
        <v>3750</v>
      </c>
      <c r="E72" s="15">
        <v>3750</v>
      </c>
    </row>
    <row r="73" spans="1:6">
      <c r="A73" s="1">
        <v>100</v>
      </c>
      <c r="B73" s="3">
        <v>162</v>
      </c>
      <c r="C73" s="5" t="s">
        <v>1</v>
      </c>
      <c r="D73" s="15">
        <v>891</v>
      </c>
      <c r="E73" s="15">
        <v>891</v>
      </c>
    </row>
    <row r="74" spans="1:6">
      <c r="A74" s="1"/>
      <c r="B74" s="2"/>
      <c r="C74" s="4" t="s">
        <v>43</v>
      </c>
      <c r="D74" s="16">
        <f>D71+D72+D73</f>
        <v>12589</v>
      </c>
      <c r="E74" s="16">
        <f>SUM(E71:E73)</f>
        <v>12589</v>
      </c>
      <c r="F74" s="18">
        <v>0</v>
      </c>
    </row>
    <row r="75" spans="1:6">
      <c r="A75" s="1"/>
      <c r="B75" s="5"/>
      <c r="C75" s="5"/>
    </row>
    <row r="76" spans="1:6">
      <c r="A76" s="1">
        <v>100</v>
      </c>
      <c r="B76" s="3">
        <v>163</v>
      </c>
      <c r="C76" s="5" t="s">
        <v>18</v>
      </c>
      <c r="D76" s="15">
        <v>1600</v>
      </c>
      <c r="E76" s="15">
        <v>1600</v>
      </c>
    </row>
    <row r="77" spans="1:6">
      <c r="A77" s="1">
        <v>100</v>
      </c>
      <c r="B77" s="3">
        <v>163</v>
      </c>
      <c r="C77" s="5" t="s">
        <v>9</v>
      </c>
      <c r="D77" s="15">
        <v>300</v>
      </c>
      <c r="E77" s="15">
        <v>300</v>
      </c>
    </row>
    <row r="78" spans="1:6">
      <c r="A78" s="1">
        <v>100</v>
      </c>
      <c r="B78" s="3">
        <v>163</v>
      </c>
      <c r="C78" s="5" t="s">
        <v>44</v>
      </c>
      <c r="D78" s="15">
        <v>3175</v>
      </c>
      <c r="E78" s="15">
        <v>3175</v>
      </c>
    </row>
    <row r="79" spans="1:6">
      <c r="A79" s="1"/>
      <c r="B79" s="2"/>
      <c r="C79" s="4" t="s">
        <v>45</v>
      </c>
      <c r="D79" s="16">
        <f>D76+D77+D78</f>
        <v>5075</v>
      </c>
      <c r="E79" s="16">
        <f>SUM(E76:E78)</f>
        <v>5075</v>
      </c>
      <c r="F79" s="18">
        <v>0</v>
      </c>
    </row>
    <row r="80" spans="1:6">
      <c r="A80" s="1"/>
      <c r="B80" s="5"/>
      <c r="C80" s="5"/>
    </row>
    <row r="81" spans="1:6">
      <c r="A81" s="1">
        <v>100</v>
      </c>
      <c r="B81" s="3">
        <v>166</v>
      </c>
      <c r="C81" s="5" t="s">
        <v>46</v>
      </c>
      <c r="D81" s="15">
        <v>600</v>
      </c>
      <c r="E81" s="15">
        <v>600</v>
      </c>
    </row>
    <row r="82" spans="1:6">
      <c r="A82" s="1">
        <v>100</v>
      </c>
      <c r="B82" s="3">
        <v>166</v>
      </c>
      <c r="C82" s="5" t="s">
        <v>19</v>
      </c>
      <c r="D82" s="15">
        <v>297</v>
      </c>
      <c r="E82" s="15">
        <v>297</v>
      </c>
    </row>
    <row r="83" spans="1:6">
      <c r="A83" s="1"/>
      <c r="B83" s="2"/>
      <c r="C83" s="4" t="s">
        <v>47</v>
      </c>
      <c r="D83" s="16">
        <f>D81+D82</f>
        <v>897</v>
      </c>
      <c r="E83" s="16">
        <f>SUM(E81:E82)</f>
        <v>897</v>
      </c>
      <c r="F83" s="18">
        <v>0</v>
      </c>
    </row>
    <row r="84" spans="1:6">
      <c r="A84" s="1"/>
      <c r="B84" s="5"/>
      <c r="C84" s="5"/>
    </row>
    <row r="85" spans="1:6">
      <c r="A85" s="1">
        <v>100</v>
      </c>
      <c r="B85" s="3">
        <v>171</v>
      </c>
      <c r="C85" s="5" t="s">
        <v>48</v>
      </c>
      <c r="D85" s="15">
        <v>2340</v>
      </c>
      <c r="E85" s="15">
        <v>2340</v>
      </c>
    </row>
    <row r="86" spans="1:6">
      <c r="A86" s="1"/>
      <c r="B86" s="2"/>
      <c r="C86" s="4" t="s">
        <v>51</v>
      </c>
      <c r="D86" s="16">
        <f>D85</f>
        <v>2340</v>
      </c>
      <c r="E86" s="16">
        <f>E85</f>
        <v>2340</v>
      </c>
      <c r="F86" s="18">
        <v>0</v>
      </c>
    </row>
    <row r="87" spans="1:6">
      <c r="A87" s="1"/>
      <c r="B87" s="5"/>
      <c r="C87" s="5"/>
    </row>
    <row r="88" spans="1:6">
      <c r="A88" s="1">
        <v>100</v>
      </c>
      <c r="B88" s="3">
        <v>175</v>
      </c>
      <c r="C88" s="5" t="s">
        <v>52</v>
      </c>
      <c r="D88" s="15">
        <v>1200</v>
      </c>
      <c r="E88" s="15">
        <v>1200</v>
      </c>
    </row>
    <row r="89" spans="1:6">
      <c r="A89" s="1">
        <v>100</v>
      </c>
      <c r="B89" s="3">
        <v>175</v>
      </c>
      <c r="C89" s="5" t="s">
        <v>53</v>
      </c>
      <c r="D89" s="15">
        <v>3330</v>
      </c>
      <c r="E89" s="15">
        <v>3330</v>
      </c>
    </row>
    <row r="90" spans="1:6">
      <c r="A90" s="1">
        <v>100</v>
      </c>
      <c r="B90" s="3">
        <v>175</v>
      </c>
      <c r="C90" s="5" t="s">
        <v>54</v>
      </c>
      <c r="D90" s="15">
        <v>2020</v>
      </c>
      <c r="E90" s="15">
        <v>2020</v>
      </c>
    </row>
    <row r="91" spans="1:6">
      <c r="A91" s="1">
        <v>100</v>
      </c>
      <c r="B91" s="3">
        <v>175</v>
      </c>
      <c r="C91" s="5" t="s">
        <v>55</v>
      </c>
      <c r="D91" s="15">
        <v>0</v>
      </c>
      <c r="E91" s="15">
        <v>0</v>
      </c>
    </row>
    <row r="92" spans="1:6">
      <c r="A92" s="1"/>
      <c r="B92" s="2"/>
      <c r="C92" s="4" t="s">
        <v>56</v>
      </c>
      <c r="D92" s="16">
        <f>D88+D89+D90+D91</f>
        <v>6550</v>
      </c>
      <c r="E92" s="16">
        <f>SUM(E88:E91)</f>
        <v>6550</v>
      </c>
      <c r="F92" s="18">
        <v>0</v>
      </c>
    </row>
    <row r="93" spans="1:6">
      <c r="A93" s="1"/>
      <c r="B93" s="5"/>
      <c r="C93" s="5"/>
    </row>
    <row r="94" spans="1:6">
      <c r="A94" s="1">
        <v>100</v>
      </c>
      <c r="B94" s="3">
        <v>176</v>
      </c>
      <c r="C94" s="5" t="s">
        <v>57</v>
      </c>
      <c r="D94" s="15">
        <v>2340</v>
      </c>
      <c r="E94" s="15">
        <v>2340</v>
      </c>
    </row>
    <row r="95" spans="1:6">
      <c r="A95" s="1">
        <v>100</v>
      </c>
      <c r="B95" s="3">
        <v>176</v>
      </c>
      <c r="C95" s="5" t="s">
        <v>58</v>
      </c>
      <c r="D95" s="15">
        <v>1400</v>
      </c>
      <c r="E95" s="15">
        <v>1400</v>
      </c>
    </row>
    <row r="96" spans="1:6">
      <c r="A96" s="1">
        <v>100</v>
      </c>
      <c r="B96" s="3">
        <v>176</v>
      </c>
      <c r="C96" s="5" t="s">
        <v>59</v>
      </c>
      <c r="D96" s="15">
        <v>2040</v>
      </c>
      <c r="E96" s="15">
        <v>2040</v>
      </c>
    </row>
    <row r="97" spans="1:6">
      <c r="A97" s="1"/>
      <c r="B97" s="2"/>
      <c r="C97" s="4" t="s">
        <v>60</v>
      </c>
      <c r="D97" s="16">
        <f>D94+D95+D96</f>
        <v>5780</v>
      </c>
      <c r="E97" s="16">
        <f>SUM(E94:E96)</f>
        <v>5780</v>
      </c>
      <c r="F97" s="18">
        <v>0</v>
      </c>
    </row>
    <row r="98" spans="1:6">
      <c r="A98" s="1"/>
      <c r="B98" s="5"/>
      <c r="C98" s="5"/>
    </row>
    <row r="99" spans="1:6">
      <c r="A99" s="1">
        <v>100</v>
      </c>
      <c r="B99" s="3">
        <v>191</v>
      </c>
      <c r="C99" s="5" t="s">
        <v>61</v>
      </c>
      <c r="D99" s="15">
        <v>15000</v>
      </c>
      <c r="E99" s="15">
        <v>15000</v>
      </c>
    </row>
    <row r="100" spans="1:6">
      <c r="A100" s="1">
        <v>100</v>
      </c>
      <c r="B100" s="3">
        <v>191</v>
      </c>
      <c r="C100" s="5" t="s">
        <v>62</v>
      </c>
      <c r="D100" s="15">
        <v>29550</v>
      </c>
      <c r="E100" s="15">
        <v>29550</v>
      </c>
    </row>
    <row r="101" spans="1:6">
      <c r="A101" s="1">
        <v>100</v>
      </c>
      <c r="B101" s="3">
        <v>191</v>
      </c>
      <c r="C101" s="5" t="s">
        <v>63</v>
      </c>
      <c r="D101" s="15">
        <v>150</v>
      </c>
      <c r="E101" s="15">
        <v>150</v>
      </c>
    </row>
    <row r="102" spans="1:6">
      <c r="A102" s="1"/>
      <c r="B102" s="2"/>
      <c r="C102" s="4" t="s">
        <v>64</v>
      </c>
      <c r="D102" s="16">
        <f>D99+D100+D101</f>
        <v>44700</v>
      </c>
      <c r="E102" s="16">
        <f>SUM(E99:E101)</f>
        <v>44700</v>
      </c>
      <c r="F102" s="18">
        <v>0</v>
      </c>
    </row>
    <row r="103" spans="1:6">
      <c r="A103" s="1"/>
      <c r="B103" s="5"/>
      <c r="C103" s="5"/>
    </row>
    <row r="104" spans="1:6">
      <c r="A104" s="1">
        <v>100</v>
      </c>
      <c r="B104" s="3">
        <v>192</v>
      </c>
      <c r="C104" s="5" t="s">
        <v>351</v>
      </c>
      <c r="D104" s="15">
        <v>7000</v>
      </c>
      <c r="E104" s="15">
        <v>8500</v>
      </c>
    </row>
    <row r="105" spans="1:6">
      <c r="A105" s="1">
        <v>100</v>
      </c>
      <c r="B105" s="3">
        <v>192</v>
      </c>
      <c r="C105" s="5" t="s">
        <v>65</v>
      </c>
      <c r="D105" s="15">
        <v>8000</v>
      </c>
      <c r="E105" s="15">
        <v>8000</v>
      </c>
    </row>
    <row r="106" spans="1:6">
      <c r="A106" s="1">
        <v>100</v>
      </c>
      <c r="B106" s="3">
        <v>192</v>
      </c>
      <c r="C106" s="5" t="s">
        <v>66</v>
      </c>
      <c r="D106" s="15">
        <v>14000</v>
      </c>
      <c r="E106" s="15">
        <v>14000</v>
      </c>
    </row>
    <row r="107" spans="1:6">
      <c r="A107" s="1">
        <v>100</v>
      </c>
      <c r="B107" s="3">
        <v>192</v>
      </c>
      <c r="C107" s="5" t="s">
        <v>67</v>
      </c>
      <c r="D107" s="15">
        <v>14000</v>
      </c>
      <c r="E107" s="15">
        <v>14000</v>
      </c>
    </row>
    <row r="108" spans="1:6">
      <c r="A108" s="1">
        <v>100</v>
      </c>
      <c r="B108" s="3">
        <v>192</v>
      </c>
      <c r="C108" s="5" t="s">
        <v>68</v>
      </c>
      <c r="D108" s="15">
        <v>10000</v>
      </c>
      <c r="E108" s="15">
        <v>10000</v>
      </c>
    </row>
    <row r="109" spans="1:6">
      <c r="A109" s="1">
        <v>100</v>
      </c>
      <c r="B109" s="3">
        <v>192</v>
      </c>
      <c r="C109" s="5" t="s">
        <v>69</v>
      </c>
      <c r="D109" s="15">
        <v>3400</v>
      </c>
      <c r="E109" s="15">
        <v>3400</v>
      </c>
    </row>
    <row r="110" spans="1:6">
      <c r="A110" s="1">
        <v>100</v>
      </c>
      <c r="B110" s="3">
        <v>192</v>
      </c>
      <c r="C110" s="5" t="s">
        <v>350</v>
      </c>
      <c r="D110" s="15">
        <v>0</v>
      </c>
      <c r="E110" s="15">
        <v>0</v>
      </c>
      <c r="F110" s="19">
        <f>F111/D111</f>
        <v>2.6595744680851064E-2</v>
      </c>
    </row>
    <row r="111" spans="1:6">
      <c r="A111" s="1"/>
      <c r="B111" s="2"/>
      <c r="C111" s="4" t="s">
        <v>70</v>
      </c>
      <c r="D111" s="16">
        <f>D104+D105+D106+D107+D108+D109+D110</f>
        <v>56400</v>
      </c>
      <c r="E111" s="16">
        <f>SUM(E104:E110)</f>
        <v>57900</v>
      </c>
      <c r="F111" s="18">
        <f>E111-D111</f>
        <v>1500</v>
      </c>
    </row>
    <row r="112" spans="1:6">
      <c r="A112" s="1"/>
      <c r="B112" s="5"/>
      <c r="C112" s="5"/>
      <c r="F112" s="20">
        <f>F113/D113</f>
        <v>-9.4102471980856799E-3</v>
      </c>
    </row>
    <row r="113" spans="1:6">
      <c r="A113" s="6"/>
      <c r="B113" s="7"/>
      <c r="C113" s="8" t="s">
        <v>71</v>
      </c>
      <c r="D113" s="17">
        <f>D2+D8+D19+D24+D27+D34+D44+D53+D57+D60+D63+D69+D74+D79+D83+D86+D92+D97+D102+D111</f>
        <v>1012790.61</v>
      </c>
      <c r="E113" s="17">
        <f>SUM(E2+E8+E19+E24+E27+E34+E44+E53+E57+E60+E63+E69+E74+E79+E83+E86+E92+E97+E102+E111)</f>
        <v>1003260</v>
      </c>
      <c r="F113" s="18">
        <f>E113-D113</f>
        <v>-9530.609999999986</v>
      </c>
    </row>
    <row r="114" spans="1:6">
      <c r="A114" s="9"/>
      <c r="B114" s="5"/>
      <c r="C114" s="5"/>
    </row>
    <row r="115" spans="1:6">
      <c r="A115" s="1">
        <v>200</v>
      </c>
      <c r="B115" s="3">
        <v>210</v>
      </c>
      <c r="C115" s="5" t="s">
        <v>18</v>
      </c>
      <c r="D115" s="15">
        <v>885217</v>
      </c>
      <c r="E115" s="15">
        <v>913217</v>
      </c>
    </row>
    <row r="116" spans="1:6">
      <c r="A116" s="1">
        <v>200</v>
      </c>
      <c r="B116" s="3">
        <v>210</v>
      </c>
      <c r="C116" s="5" t="s">
        <v>72</v>
      </c>
      <c r="D116" s="15">
        <v>100000</v>
      </c>
      <c r="E116" s="15">
        <v>150000</v>
      </c>
    </row>
    <row r="117" spans="1:6">
      <c r="A117" s="1">
        <v>200</v>
      </c>
      <c r="B117" s="3">
        <v>210</v>
      </c>
      <c r="C117" s="5" t="s">
        <v>73</v>
      </c>
      <c r="D117" s="15">
        <v>41019</v>
      </c>
      <c r="E117" s="15">
        <v>41019</v>
      </c>
    </row>
    <row r="118" spans="1:6">
      <c r="A118" s="1">
        <v>200</v>
      </c>
      <c r="B118" s="3">
        <v>210</v>
      </c>
      <c r="C118" s="5" t="s">
        <v>3</v>
      </c>
      <c r="D118" s="15">
        <v>38495</v>
      </c>
      <c r="E118" s="15">
        <v>38495</v>
      </c>
    </row>
    <row r="119" spans="1:6">
      <c r="A119" s="1">
        <v>200</v>
      </c>
      <c r="B119" s="3">
        <v>210</v>
      </c>
      <c r="C119" s="5" t="s">
        <v>74</v>
      </c>
      <c r="D119" s="15">
        <v>22500</v>
      </c>
      <c r="E119" s="15">
        <v>22500</v>
      </c>
    </row>
    <row r="120" spans="1:6">
      <c r="A120" s="1">
        <v>200</v>
      </c>
      <c r="B120" s="3">
        <v>210</v>
      </c>
      <c r="C120" s="5" t="s">
        <v>39</v>
      </c>
      <c r="D120" s="15">
        <v>80052.350000000006</v>
      </c>
      <c r="E120" s="15">
        <v>80053</v>
      </c>
    </row>
    <row r="121" spans="1:6">
      <c r="A121" s="1">
        <v>200</v>
      </c>
      <c r="B121" s="3">
        <v>210</v>
      </c>
      <c r="C121" s="5" t="s">
        <v>5</v>
      </c>
      <c r="D121" s="15">
        <v>0</v>
      </c>
      <c r="E121" s="15">
        <v>0</v>
      </c>
    </row>
    <row r="122" spans="1:6">
      <c r="A122" s="1">
        <v>200</v>
      </c>
      <c r="B122" s="3">
        <v>210</v>
      </c>
      <c r="C122" s="5" t="s">
        <v>75</v>
      </c>
      <c r="D122" s="15">
        <v>45800</v>
      </c>
      <c r="E122" s="15">
        <v>0</v>
      </c>
      <c r="F122" s="19">
        <f>F123/D123</f>
        <v>2.6544466214955389E-2</v>
      </c>
    </row>
    <row r="123" spans="1:6">
      <c r="A123" s="1"/>
      <c r="B123" s="2"/>
      <c r="C123" s="4" t="s">
        <v>76</v>
      </c>
      <c r="D123" s="16">
        <f>D115+D116+D117+D118+D119+D120+D121+D122</f>
        <v>1213083.3500000001</v>
      </c>
      <c r="E123" s="16">
        <f>SUM(E115:E122)</f>
        <v>1245284</v>
      </c>
      <c r="F123" s="18">
        <f>E123-D123</f>
        <v>32200.649999999907</v>
      </c>
    </row>
    <row r="124" spans="1:6">
      <c r="A124" s="1"/>
      <c r="B124" s="5"/>
      <c r="C124" s="5"/>
    </row>
    <row r="125" spans="1:6">
      <c r="A125" s="1">
        <v>200</v>
      </c>
      <c r="B125" s="3">
        <v>215</v>
      </c>
      <c r="C125" s="5" t="s">
        <v>77</v>
      </c>
      <c r="D125" s="15">
        <v>222001.52</v>
      </c>
      <c r="E125" s="15">
        <v>224831</v>
      </c>
    </row>
    <row r="126" spans="1:6">
      <c r="A126" s="1">
        <v>200</v>
      </c>
      <c r="B126" s="3">
        <v>215</v>
      </c>
      <c r="C126" s="5" t="s">
        <v>78</v>
      </c>
      <c r="D126" s="15">
        <v>57252.959999999999</v>
      </c>
      <c r="E126" s="15">
        <v>63821</v>
      </c>
    </row>
    <row r="127" spans="1:6">
      <c r="A127" s="1">
        <v>200</v>
      </c>
      <c r="B127" s="3">
        <v>215</v>
      </c>
      <c r="C127" s="5" t="s">
        <v>79</v>
      </c>
      <c r="D127" s="15">
        <v>8661</v>
      </c>
      <c r="E127" s="15">
        <v>27720</v>
      </c>
    </row>
    <row r="128" spans="1:6">
      <c r="A128" s="1">
        <v>200</v>
      </c>
      <c r="B128" s="3">
        <v>215</v>
      </c>
      <c r="C128" s="5" t="s">
        <v>80</v>
      </c>
      <c r="F128" s="19">
        <f>F129/D129</f>
        <v>9.8836366839323883E-2</v>
      </c>
    </row>
    <row r="129" spans="1:6">
      <c r="A129" s="1"/>
      <c r="B129" s="2"/>
      <c r="C129" s="4" t="s">
        <v>81</v>
      </c>
      <c r="D129" s="16">
        <f>D125+D126+D127</f>
        <v>287915.48</v>
      </c>
      <c r="E129" s="16">
        <f>SUM(E125:E128)</f>
        <v>316372</v>
      </c>
      <c r="F129" s="18">
        <f>E129-D129</f>
        <v>28456.520000000019</v>
      </c>
    </row>
    <row r="130" spans="1:6">
      <c r="A130" s="1"/>
      <c r="B130" s="5"/>
      <c r="C130" s="5"/>
    </row>
    <row r="131" spans="1:6">
      <c r="A131" s="1">
        <v>200</v>
      </c>
      <c r="B131" s="3">
        <v>220</v>
      </c>
      <c r="C131" s="5" t="s">
        <v>18</v>
      </c>
      <c r="D131" s="15">
        <v>524917</v>
      </c>
      <c r="E131" s="15">
        <v>522833</v>
      </c>
    </row>
    <row r="132" spans="1:6">
      <c r="A132" s="1">
        <v>200</v>
      </c>
      <c r="B132" s="3">
        <v>220</v>
      </c>
      <c r="C132" s="5" t="s">
        <v>82</v>
      </c>
      <c r="D132" s="15">
        <v>71835</v>
      </c>
      <c r="E132" s="15">
        <v>12183</v>
      </c>
    </row>
    <row r="133" spans="1:6">
      <c r="A133" s="1">
        <v>200</v>
      </c>
      <c r="B133" s="3">
        <v>220</v>
      </c>
      <c r="C133" s="5" t="s">
        <v>83</v>
      </c>
      <c r="D133" s="15">
        <v>75000</v>
      </c>
      <c r="E133" s="15">
        <v>163000</v>
      </c>
    </row>
    <row r="134" spans="1:6">
      <c r="A134" s="1">
        <v>200</v>
      </c>
      <c r="B134" s="3">
        <v>220</v>
      </c>
      <c r="C134" s="5" t="s">
        <v>84</v>
      </c>
      <c r="D134" s="15">
        <v>14150</v>
      </c>
      <c r="E134" s="15">
        <v>18050</v>
      </c>
    </row>
    <row r="135" spans="1:6">
      <c r="A135" s="1">
        <v>200</v>
      </c>
      <c r="B135" s="3">
        <v>220</v>
      </c>
      <c r="C135" s="5" t="s">
        <v>85</v>
      </c>
      <c r="D135" s="15">
        <v>2650</v>
      </c>
      <c r="E135" s="15">
        <v>2650</v>
      </c>
    </row>
    <row r="136" spans="1:6">
      <c r="A136" s="1">
        <v>200</v>
      </c>
      <c r="B136" s="3">
        <v>220</v>
      </c>
      <c r="C136" s="5" t="s">
        <v>86</v>
      </c>
      <c r="D136" s="15">
        <v>11770</v>
      </c>
      <c r="E136" s="15">
        <v>11770</v>
      </c>
    </row>
    <row r="137" spans="1:6">
      <c r="A137" s="1">
        <v>200</v>
      </c>
      <c r="B137" s="3">
        <v>220</v>
      </c>
      <c r="C137" s="5" t="s">
        <v>87</v>
      </c>
      <c r="D137" s="15">
        <v>13644</v>
      </c>
      <c r="E137" s="15">
        <v>13644</v>
      </c>
    </row>
    <row r="138" spans="1:6">
      <c r="A138" s="1">
        <v>200</v>
      </c>
      <c r="B138" s="3">
        <v>220</v>
      </c>
      <c r="C138" s="5" t="s">
        <v>88</v>
      </c>
      <c r="D138" s="15">
        <v>37000</v>
      </c>
      <c r="E138" s="15">
        <v>37000</v>
      </c>
    </row>
    <row r="139" spans="1:6">
      <c r="A139" s="1">
        <v>200</v>
      </c>
      <c r="B139" s="3">
        <v>220</v>
      </c>
      <c r="C139" s="5" t="s">
        <v>89</v>
      </c>
      <c r="D139" s="15">
        <v>26125</v>
      </c>
      <c r="E139" s="15">
        <v>26125</v>
      </c>
    </row>
    <row r="140" spans="1:6">
      <c r="A140" s="1">
        <v>200</v>
      </c>
      <c r="B140" s="3">
        <v>220</v>
      </c>
      <c r="C140" s="5" t="s">
        <v>90</v>
      </c>
      <c r="D140" s="15">
        <v>2000</v>
      </c>
      <c r="E140" s="15">
        <v>2000</v>
      </c>
    </row>
    <row r="141" spans="1:6">
      <c r="A141" s="1">
        <v>200</v>
      </c>
      <c r="B141" s="3">
        <v>220</v>
      </c>
      <c r="C141" s="5" t="s">
        <v>91</v>
      </c>
      <c r="D141" s="15">
        <v>3200</v>
      </c>
      <c r="E141" s="15">
        <v>3200</v>
      </c>
    </row>
    <row r="142" spans="1:6">
      <c r="A142" s="1">
        <v>200</v>
      </c>
      <c r="B142" s="3">
        <v>220</v>
      </c>
      <c r="C142" s="5" t="s">
        <v>92</v>
      </c>
      <c r="D142" s="15">
        <v>1714</v>
      </c>
      <c r="E142" s="15">
        <v>1714</v>
      </c>
    </row>
    <row r="143" spans="1:6">
      <c r="A143" s="1">
        <v>200</v>
      </c>
      <c r="B143" s="3">
        <v>220</v>
      </c>
      <c r="C143" s="5" t="s">
        <v>93</v>
      </c>
      <c r="D143" s="15">
        <v>3000</v>
      </c>
      <c r="E143" s="15">
        <v>3000</v>
      </c>
      <c r="F143" s="19">
        <f>F144/D144</f>
        <v>3.8327583687524223E-2</v>
      </c>
    </row>
    <row r="144" spans="1:6">
      <c r="A144" s="1"/>
      <c r="B144" s="2"/>
      <c r="C144" s="4" t="s">
        <v>94</v>
      </c>
      <c r="D144" s="16">
        <f>SUM(D131:D143)</f>
        <v>787005</v>
      </c>
      <c r="E144" s="16">
        <f>SUM(E131:E143)</f>
        <v>817169</v>
      </c>
      <c r="F144" s="18">
        <f>E144-D144</f>
        <v>30164</v>
      </c>
    </row>
    <row r="145" spans="1:6">
      <c r="A145" s="1"/>
      <c r="B145" s="5"/>
      <c r="C145" s="5"/>
    </row>
    <row r="146" spans="1:6">
      <c r="A146" s="1">
        <v>200</v>
      </c>
      <c r="B146" s="3">
        <v>225</v>
      </c>
      <c r="C146" s="5" t="s">
        <v>95</v>
      </c>
      <c r="D146" s="15">
        <v>13500</v>
      </c>
      <c r="E146" s="15">
        <v>15000</v>
      </c>
      <c r="F146" s="19">
        <f>F147/D147</f>
        <v>0.1111111111111111</v>
      </c>
    </row>
    <row r="147" spans="1:6">
      <c r="A147" s="1"/>
      <c r="B147" s="3"/>
      <c r="C147" s="4" t="s">
        <v>96</v>
      </c>
      <c r="D147" s="16">
        <f>D146</f>
        <v>13500</v>
      </c>
      <c r="E147" s="16">
        <f>E146</f>
        <v>15000</v>
      </c>
      <c r="F147" s="18">
        <f>E147-D147</f>
        <v>1500</v>
      </c>
    </row>
    <row r="148" spans="1:6">
      <c r="A148" s="1"/>
      <c r="B148" s="5"/>
      <c r="C148" s="5"/>
    </row>
    <row r="149" spans="1:6">
      <c r="A149" s="1">
        <v>200</v>
      </c>
      <c r="B149" s="3">
        <v>231</v>
      </c>
      <c r="C149" s="5" t="s">
        <v>97</v>
      </c>
      <c r="D149" s="15">
        <v>149562</v>
      </c>
      <c r="E149" s="15">
        <v>155285</v>
      </c>
    </row>
    <row r="150" spans="1:6">
      <c r="A150" s="1">
        <v>200</v>
      </c>
      <c r="B150" s="3">
        <v>231</v>
      </c>
      <c r="C150" s="5" t="s">
        <v>98</v>
      </c>
      <c r="D150" s="15">
        <v>3000</v>
      </c>
      <c r="E150" s="15">
        <v>18500</v>
      </c>
    </row>
    <row r="151" spans="1:6">
      <c r="A151" s="1">
        <v>200</v>
      </c>
      <c r="B151" s="3">
        <v>231</v>
      </c>
      <c r="C151" s="5" t="s">
        <v>99</v>
      </c>
      <c r="D151" s="15">
        <v>45566</v>
      </c>
      <c r="E151" s="15">
        <v>32385</v>
      </c>
    </row>
    <row r="152" spans="1:6">
      <c r="A152" s="1">
        <v>200</v>
      </c>
      <c r="B152" s="3">
        <v>231</v>
      </c>
      <c r="C152" s="5" t="s">
        <v>100</v>
      </c>
      <c r="D152" s="15">
        <v>19300</v>
      </c>
      <c r="E152" s="15">
        <v>16900</v>
      </c>
    </row>
    <row r="153" spans="1:6">
      <c r="A153" s="1">
        <v>200</v>
      </c>
      <c r="B153" s="3">
        <v>231</v>
      </c>
      <c r="C153" s="5" t="s">
        <v>101</v>
      </c>
      <c r="D153" s="15">
        <v>14625</v>
      </c>
    </row>
    <row r="154" spans="1:6">
      <c r="A154" s="1">
        <v>200</v>
      </c>
      <c r="B154" s="3">
        <v>231</v>
      </c>
      <c r="C154" s="5" t="s">
        <v>102</v>
      </c>
      <c r="D154" s="15">
        <v>14000</v>
      </c>
      <c r="E154" s="15">
        <v>38486</v>
      </c>
    </row>
    <row r="155" spans="1:6">
      <c r="A155" s="1">
        <v>200</v>
      </c>
      <c r="B155" s="3">
        <v>231</v>
      </c>
      <c r="C155" s="5" t="s">
        <v>103</v>
      </c>
      <c r="D155" s="15">
        <v>17640</v>
      </c>
    </row>
    <row r="156" spans="1:6">
      <c r="A156" s="1">
        <v>200</v>
      </c>
      <c r="B156" s="3">
        <v>231</v>
      </c>
      <c r="C156" s="5" t="s">
        <v>104</v>
      </c>
      <c r="D156" s="15">
        <v>18625</v>
      </c>
      <c r="E156" s="15">
        <v>54850</v>
      </c>
    </row>
    <row r="157" spans="1:6">
      <c r="A157" s="1">
        <v>200</v>
      </c>
      <c r="B157" s="3">
        <v>231</v>
      </c>
      <c r="C157" s="5" t="s">
        <v>105</v>
      </c>
      <c r="D157" s="15">
        <v>2130</v>
      </c>
    </row>
    <row r="158" spans="1:6">
      <c r="A158" s="1">
        <v>200</v>
      </c>
      <c r="B158" s="2">
        <v>231</v>
      </c>
      <c r="C158" s="10" t="s">
        <v>106</v>
      </c>
      <c r="D158" s="15">
        <v>1830</v>
      </c>
    </row>
    <row r="159" spans="1:6">
      <c r="A159" s="1">
        <v>200</v>
      </c>
      <c r="B159" s="3">
        <v>231</v>
      </c>
      <c r="C159" s="5" t="s">
        <v>107</v>
      </c>
      <c r="D159" s="15">
        <v>56940</v>
      </c>
      <c r="E159" s="15">
        <v>67210</v>
      </c>
    </row>
    <row r="160" spans="1:6">
      <c r="A160" s="1">
        <v>200</v>
      </c>
      <c r="B160" s="3">
        <v>231</v>
      </c>
      <c r="C160" s="5" t="s">
        <v>75</v>
      </c>
      <c r="D160" s="15">
        <v>0</v>
      </c>
      <c r="E160" s="15">
        <v>0</v>
      </c>
      <c r="F160" s="19">
        <f>F161/D161</f>
        <v>0.11770361694316732</v>
      </c>
    </row>
    <row r="161" spans="1:6">
      <c r="A161" s="1"/>
      <c r="B161" s="2"/>
      <c r="C161" s="4" t="s">
        <v>108</v>
      </c>
      <c r="D161" s="16">
        <v>343218</v>
      </c>
      <c r="E161" s="16">
        <f>SUM(E149:E160)</f>
        <v>383616</v>
      </c>
      <c r="F161" s="18">
        <f>E161-D161</f>
        <v>40398</v>
      </c>
    </row>
    <row r="162" spans="1:6">
      <c r="A162" s="1"/>
      <c r="B162" s="5"/>
      <c r="C162" s="5"/>
    </row>
    <row r="163" spans="1:6">
      <c r="A163" s="1">
        <v>200</v>
      </c>
      <c r="B163" s="3">
        <v>241</v>
      </c>
      <c r="C163" s="5" t="s">
        <v>18</v>
      </c>
      <c r="D163" s="15">
        <v>32040</v>
      </c>
      <c r="E163" s="15">
        <v>33001</v>
      </c>
    </row>
    <row r="164" spans="1:6">
      <c r="A164" s="1">
        <v>200</v>
      </c>
      <c r="B164" s="3">
        <v>241</v>
      </c>
      <c r="C164" s="5" t="s">
        <v>109</v>
      </c>
      <c r="D164" s="15">
        <v>1000</v>
      </c>
      <c r="E164" s="15">
        <v>1000</v>
      </c>
    </row>
    <row r="165" spans="1:6">
      <c r="A165" s="1">
        <v>200</v>
      </c>
      <c r="B165" s="3">
        <v>241</v>
      </c>
      <c r="C165" s="5" t="s">
        <v>110</v>
      </c>
      <c r="D165" s="15">
        <v>2500</v>
      </c>
      <c r="E165" s="15">
        <v>2500</v>
      </c>
    </row>
    <row r="166" spans="1:6">
      <c r="A166" s="1">
        <v>200</v>
      </c>
      <c r="B166" s="3">
        <v>241</v>
      </c>
      <c r="C166" s="5" t="s">
        <v>63</v>
      </c>
      <c r="D166" s="15">
        <v>1200</v>
      </c>
      <c r="E166" s="15">
        <v>1200</v>
      </c>
      <c r="F166" s="19">
        <f>F167/D167</f>
        <v>2.6156777354382144E-2</v>
      </c>
    </row>
    <row r="167" spans="1:6">
      <c r="A167" s="1"/>
      <c r="B167" s="2"/>
      <c r="C167" s="4" t="s">
        <v>111</v>
      </c>
      <c r="D167" s="16">
        <f>D163+D164+D165+D166</f>
        <v>36740</v>
      </c>
      <c r="E167" s="16">
        <f>SUM(E163:E166)</f>
        <v>37701</v>
      </c>
      <c r="F167" s="18">
        <f>E167-D167</f>
        <v>961</v>
      </c>
    </row>
    <row r="168" spans="1:6">
      <c r="A168" s="1"/>
      <c r="B168" s="5"/>
      <c r="C168" s="5"/>
    </row>
    <row r="169" spans="1:6">
      <c r="A169" s="1">
        <v>200</v>
      </c>
      <c r="B169" s="3">
        <v>243</v>
      </c>
      <c r="C169" s="5" t="s">
        <v>18</v>
      </c>
      <c r="D169" s="15">
        <v>7275</v>
      </c>
      <c r="E169" s="15">
        <v>7275</v>
      </c>
    </row>
    <row r="170" spans="1:6">
      <c r="A170" s="1">
        <v>200</v>
      </c>
      <c r="B170" s="3">
        <v>243</v>
      </c>
      <c r="C170" s="5" t="s">
        <v>112</v>
      </c>
      <c r="D170" s="15">
        <v>200</v>
      </c>
      <c r="E170" s="15">
        <v>200</v>
      </c>
    </row>
    <row r="171" spans="1:6">
      <c r="A171" s="1"/>
      <c r="B171" s="2"/>
      <c r="C171" s="4" t="s">
        <v>113</v>
      </c>
      <c r="D171" s="16">
        <f>D169+D170</f>
        <v>7475</v>
      </c>
      <c r="E171" s="16">
        <f>SUM(E169:E170)</f>
        <v>7475</v>
      </c>
      <c r="F171" s="18">
        <v>0</v>
      </c>
    </row>
    <row r="172" spans="1:6">
      <c r="A172" s="1"/>
      <c r="B172" s="5"/>
      <c r="C172" s="5"/>
    </row>
    <row r="173" spans="1:6">
      <c r="A173" s="1">
        <v>200</v>
      </c>
      <c r="B173" s="3">
        <v>245</v>
      </c>
      <c r="C173" s="5" t="s">
        <v>18</v>
      </c>
      <c r="D173" s="15">
        <v>8275</v>
      </c>
      <c r="E173" s="15">
        <v>8275</v>
      </c>
    </row>
    <row r="174" spans="1:6">
      <c r="A174" s="1">
        <v>200</v>
      </c>
      <c r="B174" s="3">
        <v>245</v>
      </c>
      <c r="C174" s="5" t="s">
        <v>114</v>
      </c>
      <c r="D174" s="15">
        <v>500</v>
      </c>
      <c r="E174" s="15">
        <v>500</v>
      </c>
    </row>
    <row r="175" spans="1:6">
      <c r="A175" s="1"/>
      <c r="B175" s="2"/>
      <c r="C175" s="4" t="s">
        <v>115</v>
      </c>
      <c r="D175" s="16">
        <f>D173+D174</f>
        <v>8775</v>
      </c>
      <c r="E175" s="16">
        <f>SUM(E173:E174)</f>
        <v>8775</v>
      </c>
      <c r="F175" s="18">
        <v>0</v>
      </c>
    </row>
    <row r="176" spans="1:6">
      <c r="A176" s="1"/>
      <c r="B176" s="5"/>
      <c r="C176" s="5"/>
    </row>
    <row r="177" spans="1:6">
      <c r="A177" s="1">
        <v>200</v>
      </c>
      <c r="B177" s="3">
        <v>247</v>
      </c>
      <c r="C177" s="5" t="s">
        <v>116</v>
      </c>
      <c r="D177" s="15">
        <v>750</v>
      </c>
      <c r="E177" s="15">
        <v>750</v>
      </c>
    </row>
    <row r="178" spans="1:6">
      <c r="A178" s="1"/>
      <c r="B178" s="2"/>
      <c r="C178" s="4" t="s">
        <v>117</v>
      </c>
      <c r="D178" s="16">
        <v>750</v>
      </c>
      <c r="E178" s="16">
        <f>SUM(E177)</f>
        <v>750</v>
      </c>
      <c r="F178" s="18">
        <v>0</v>
      </c>
    </row>
    <row r="179" spans="1:6">
      <c r="A179" s="1"/>
      <c r="B179" s="5"/>
      <c r="C179" s="5"/>
    </row>
    <row r="180" spans="1:6">
      <c r="A180" s="1">
        <v>200</v>
      </c>
      <c r="B180" s="3">
        <v>291</v>
      </c>
      <c r="C180" s="5" t="s">
        <v>118</v>
      </c>
      <c r="D180" s="15">
        <v>0</v>
      </c>
      <c r="E180" s="15">
        <v>0</v>
      </c>
    </row>
    <row r="181" spans="1:6">
      <c r="A181" s="1">
        <v>200</v>
      </c>
      <c r="B181" s="3">
        <v>291</v>
      </c>
      <c r="C181" s="5" t="s">
        <v>19</v>
      </c>
      <c r="D181" s="15">
        <v>6000</v>
      </c>
      <c r="E181" s="15">
        <v>6000</v>
      </c>
    </row>
    <row r="182" spans="1:6">
      <c r="A182" s="1">
        <v>200</v>
      </c>
      <c r="B182" s="3">
        <v>291</v>
      </c>
      <c r="C182" s="5" t="s">
        <v>119</v>
      </c>
      <c r="D182" s="15">
        <v>5440</v>
      </c>
      <c r="E182" s="15">
        <v>5440</v>
      </c>
    </row>
    <row r="183" spans="1:6">
      <c r="A183" s="1"/>
      <c r="B183" s="2"/>
      <c r="C183" s="4" t="s">
        <v>120</v>
      </c>
      <c r="D183" s="16">
        <f>D180+D181+D182</f>
        <v>11440</v>
      </c>
      <c r="E183" s="16">
        <f>SUM(E180:E182)</f>
        <v>11440</v>
      </c>
      <c r="F183" s="18">
        <v>0</v>
      </c>
    </row>
    <row r="184" spans="1:6">
      <c r="A184" s="1"/>
      <c r="B184" s="5"/>
      <c r="C184" s="5"/>
    </row>
    <row r="185" spans="1:6">
      <c r="A185" s="1">
        <v>200</v>
      </c>
      <c r="B185" s="3">
        <v>292</v>
      </c>
      <c r="C185" s="5" t="s">
        <v>18</v>
      </c>
      <c r="D185" s="15">
        <v>7800</v>
      </c>
      <c r="E185" s="15">
        <v>7800</v>
      </c>
    </row>
    <row r="186" spans="1:6">
      <c r="A186" s="1">
        <v>200</v>
      </c>
      <c r="B186" s="3">
        <v>292</v>
      </c>
      <c r="C186" s="5" t="s">
        <v>121</v>
      </c>
      <c r="D186" s="15">
        <v>540</v>
      </c>
      <c r="E186" s="15">
        <v>540</v>
      </c>
    </row>
    <row r="187" spans="1:6">
      <c r="A187" s="1">
        <v>200</v>
      </c>
      <c r="B187" s="3">
        <v>292</v>
      </c>
      <c r="C187" s="5" t="s">
        <v>122</v>
      </c>
      <c r="D187" s="15">
        <v>2634</v>
      </c>
      <c r="E187" s="15">
        <v>2634</v>
      </c>
    </row>
    <row r="188" spans="1:6">
      <c r="A188" s="1"/>
      <c r="B188" s="2"/>
      <c r="C188" s="4" t="s">
        <v>123</v>
      </c>
      <c r="D188" s="16">
        <f>D185+D186+D187</f>
        <v>10974</v>
      </c>
      <c r="E188" s="16">
        <f>SUM(E185:E187)</f>
        <v>10974</v>
      </c>
      <c r="F188" s="18">
        <v>0</v>
      </c>
    </row>
    <row r="189" spans="1:6">
      <c r="A189" s="1"/>
      <c r="B189" s="5"/>
      <c r="C189" s="5"/>
    </row>
    <row r="190" spans="1:6">
      <c r="A190" s="1">
        <v>200</v>
      </c>
      <c r="B190" s="3">
        <v>294</v>
      </c>
      <c r="C190" s="5" t="s">
        <v>0</v>
      </c>
      <c r="D190" s="15">
        <v>900</v>
      </c>
      <c r="E190" s="15">
        <v>900</v>
      </c>
    </row>
    <row r="191" spans="1:6">
      <c r="A191" s="1">
        <v>200</v>
      </c>
      <c r="B191" s="3">
        <v>294</v>
      </c>
      <c r="C191" s="5" t="s">
        <v>9</v>
      </c>
      <c r="D191" s="15">
        <v>12350</v>
      </c>
      <c r="E191" s="15">
        <v>12350</v>
      </c>
    </row>
    <row r="192" spans="1:6">
      <c r="A192" s="1">
        <v>200</v>
      </c>
      <c r="B192" s="3">
        <v>294</v>
      </c>
      <c r="C192" s="5" t="s">
        <v>124</v>
      </c>
      <c r="D192" s="15">
        <v>6000</v>
      </c>
      <c r="E192" s="15">
        <v>6000</v>
      </c>
    </row>
    <row r="193" spans="1:6">
      <c r="A193" s="1">
        <v>200</v>
      </c>
      <c r="B193" s="3">
        <v>294</v>
      </c>
      <c r="C193" s="5" t="s">
        <v>39</v>
      </c>
      <c r="D193" s="15">
        <v>500</v>
      </c>
      <c r="E193" s="15">
        <v>500</v>
      </c>
    </row>
    <row r="194" spans="1:6">
      <c r="A194" s="1">
        <v>200</v>
      </c>
      <c r="B194" s="3">
        <v>294</v>
      </c>
      <c r="C194" s="5" t="s">
        <v>5</v>
      </c>
      <c r="D194" s="15">
        <v>800</v>
      </c>
      <c r="E194" s="15">
        <v>800</v>
      </c>
    </row>
    <row r="195" spans="1:6">
      <c r="A195" s="1"/>
      <c r="B195" s="2"/>
      <c r="C195" s="4" t="s">
        <v>125</v>
      </c>
      <c r="D195" s="16">
        <f>D190+D191+D192+D193+D194</f>
        <v>20550</v>
      </c>
      <c r="E195" s="16">
        <f>SUM(E190:E194)</f>
        <v>20550</v>
      </c>
      <c r="F195" s="18">
        <v>0</v>
      </c>
    </row>
    <row r="196" spans="1:6">
      <c r="A196" s="1"/>
      <c r="B196" s="5"/>
      <c r="C196" s="5"/>
    </row>
    <row r="197" spans="1:6">
      <c r="A197" s="1">
        <v>200</v>
      </c>
      <c r="B197" s="3">
        <v>295</v>
      </c>
      <c r="C197" s="5" t="s">
        <v>126</v>
      </c>
      <c r="D197" s="15">
        <v>250</v>
      </c>
      <c r="E197" s="15">
        <v>250</v>
      </c>
    </row>
    <row r="198" spans="1:6">
      <c r="A198" s="1">
        <v>200</v>
      </c>
      <c r="B198" s="3">
        <v>295</v>
      </c>
      <c r="C198" s="5" t="s">
        <v>127</v>
      </c>
      <c r="D198" s="15">
        <v>400</v>
      </c>
      <c r="E198" s="15">
        <v>400</v>
      </c>
    </row>
    <row r="199" spans="1:6">
      <c r="A199" s="1"/>
      <c r="B199" s="2"/>
      <c r="C199" s="4" t="s">
        <v>128</v>
      </c>
      <c r="D199" s="16">
        <f>D197+D198</f>
        <v>650</v>
      </c>
      <c r="E199" s="16">
        <f>SUM(E197:E198)</f>
        <v>650</v>
      </c>
      <c r="F199" s="18">
        <v>0</v>
      </c>
    </row>
    <row r="200" spans="1:6">
      <c r="A200" s="1"/>
      <c r="B200" s="5"/>
      <c r="C200" s="5"/>
      <c r="F200" s="19">
        <f>F201/D201</f>
        <v>4.8751449007155986E-2</v>
      </c>
    </row>
    <row r="201" spans="1:6">
      <c r="A201" s="6"/>
      <c r="B201" s="7"/>
      <c r="C201" s="8" t="s">
        <v>129</v>
      </c>
      <c r="D201" s="17">
        <f>D123+D129+D144+D147+D161+D167+D171+D175+D178+D183+D188+D195+D199</f>
        <v>2742075.83</v>
      </c>
      <c r="E201" s="17">
        <f>E123+E129+E144+E147+E161+E167+E171+E175+E178+E183+E188+E195+E199</f>
        <v>2875756</v>
      </c>
      <c r="F201" s="18">
        <f>E201-D201</f>
        <v>133680.16999999993</v>
      </c>
    </row>
    <row r="202" spans="1:6">
      <c r="A202" s="9"/>
      <c r="B202" s="5"/>
      <c r="C202" s="5"/>
    </row>
    <row r="203" spans="1:6">
      <c r="A203" s="1">
        <v>300</v>
      </c>
      <c r="B203" s="3">
        <v>300</v>
      </c>
      <c r="C203" s="5" t="s">
        <v>130</v>
      </c>
      <c r="D203" s="15">
        <v>12270774</v>
      </c>
      <c r="E203" s="15">
        <v>12638898</v>
      </c>
    </row>
    <row r="204" spans="1:6">
      <c r="A204" s="1"/>
      <c r="B204" s="2"/>
      <c r="C204" s="4" t="s">
        <v>131</v>
      </c>
      <c r="D204" s="16">
        <f>D203</f>
        <v>12270774</v>
      </c>
      <c r="E204" s="16">
        <f>E203</f>
        <v>12638898</v>
      </c>
      <c r="F204" s="18">
        <f>E204-D204</f>
        <v>368124</v>
      </c>
    </row>
    <row r="205" spans="1:6">
      <c r="A205" s="1"/>
      <c r="B205" s="5"/>
      <c r="C205" s="5"/>
      <c r="F205" s="19">
        <f>F206/D206</f>
        <v>3.0000063565672384E-2</v>
      </c>
    </row>
    <row r="206" spans="1:6">
      <c r="A206" s="6"/>
      <c r="B206" s="7"/>
      <c r="C206" s="8" t="s">
        <v>132</v>
      </c>
      <c r="D206" s="17">
        <f>D204</f>
        <v>12270774</v>
      </c>
      <c r="E206" s="17">
        <f>E204</f>
        <v>12638898</v>
      </c>
      <c r="F206" s="18">
        <f>F204</f>
        <v>368124</v>
      </c>
    </row>
    <row r="207" spans="1:6">
      <c r="A207" s="9"/>
      <c r="B207" s="5"/>
      <c r="C207" s="5"/>
    </row>
    <row r="208" spans="1:6">
      <c r="A208" s="1">
        <v>400</v>
      </c>
      <c r="B208" s="3">
        <v>422</v>
      </c>
      <c r="C208" s="5" t="s">
        <v>18</v>
      </c>
      <c r="D208" s="15">
        <v>404816</v>
      </c>
      <c r="E208" s="15">
        <v>427021</v>
      </c>
    </row>
    <row r="209" spans="1:6">
      <c r="A209" s="1">
        <v>400</v>
      </c>
      <c r="B209" s="3">
        <v>422</v>
      </c>
      <c r="C209" s="5" t="s">
        <v>0</v>
      </c>
      <c r="D209" s="15">
        <v>1980</v>
      </c>
      <c r="E209" s="15">
        <v>1980</v>
      </c>
    </row>
    <row r="210" spans="1:6">
      <c r="A210" s="1">
        <v>400</v>
      </c>
      <c r="B210" s="3">
        <v>422</v>
      </c>
      <c r="C210" s="5" t="s">
        <v>72</v>
      </c>
      <c r="D210" s="15">
        <v>8000</v>
      </c>
      <c r="E210" s="15">
        <v>8000</v>
      </c>
    </row>
    <row r="211" spans="1:6">
      <c r="A211" s="1">
        <v>400</v>
      </c>
      <c r="B211" s="3">
        <v>422</v>
      </c>
      <c r="C211" s="5" t="s">
        <v>133</v>
      </c>
      <c r="D211" s="15">
        <v>6525</v>
      </c>
      <c r="E211" s="15">
        <v>6525</v>
      </c>
    </row>
    <row r="212" spans="1:6">
      <c r="A212" s="1">
        <v>400</v>
      </c>
      <c r="B212" s="3">
        <v>422</v>
      </c>
      <c r="C212" s="5" t="s">
        <v>134</v>
      </c>
      <c r="D212" s="15">
        <v>1324</v>
      </c>
      <c r="E212" s="15">
        <v>1324</v>
      </c>
    </row>
    <row r="213" spans="1:6">
      <c r="A213" s="1">
        <v>400</v>
      </c>
      <c r="B213" s="3">
        <v>422</v>
      </c>
      <c r="C213" s="5" t="s">
        <v>23</v>
      </c>
      <c r="D213" s="15">
        <v>90000</v>
      </c>
      <c r="E213" s="15">
        <v>90000</v>
      </c>
    </row>
    <row r="214" spans="1:6">
      <c r="A214" s="1">
        <v>400</v>
      </c>
      <c r="B214" s="3">
        <v>422</v>
      </c>
      <c r="C214" s="5" t="s">
        <v>135</v>
      </c>
      <c r="D214" s="15">
        <v>3000</v>
      </c>
      <c r="E214" s="15">
        <v>3000</v>
      </c>
    </row>
    <row r="215" spans="1:6">
      <c r="A215" s="1">
        <v>400</v>
      </c>
      <c r="B215" s="3">
        <v>422</v>
      </c>
      <c r="C215" s="5" t="s">
        <v>136</v>
      </c>
      <c r="D215" s="15">
        <v>25000</v>
      </c>
      <c r="E215" s="15">
        <v>25000</v>
      </c>
    </row>
    <row r="216" spans="1:6">
      <c r="A216" s="1">
        <v>400</v>
      </c>
      <c r="B216" s="3">
        <v>422</v>
      </c>
      <c r="C216" s="5" t="s">
        <v>137</v>
      </c>
      <c r="D216" s="15">
        <v>4000</v>
      </c>
      <c r="E216" s="15">
        <v>4000</v>
      </c>
    </row>
    <row r="217" spans="1:6">
      <c r="A217" s="1">
        <v>400</v>
      </c>
      <c r="B217" s="3">
        <v>422</v>
      </c>
      <c r="C217" s="5" t="s">
        <v>138</v>
      </c>
      <c r="D217" s="15">
        <v>1350</v>
      </c>
      <c r="E217" s="15">
        <v>1350</v>
      </c>
    </row>
    <row r="218" spans="1:6">
      <c r="A218" s="1">
        <v>400</v>
      </c>
      <c r="B218" s="3">
        <v>422</v>
      </c>
      <c r="C218" s="5" t="s">
        <v>39</v>
      </c>
      <c r="D218" s="15">
        <v>2500</v>
      </c>
      <c r="E218" s="15">
        <v>2500</v>
      </c>
    </row>
    <row r="219" spans="1:6">
      <c r="A219" s="1">
        <v>400</v>
      </c>
      <c r="B219" s="3">
        <v>422</v>
      </c>
      <c r="C219" s="5" t="s">
        <v>139</v>
      </c>
      <c r="D219" s="15">
        <v>1500</v>
      </c>
      <c r="E219" s="15">
        <v>1500</v>
      </c>
    </row>
    <row r="220" spans="1:6">
      <c r="A220" s="1">
        <v>400</v>
      </c>
      <c r="B220" s="3">
        <v>422</v>
      </c>
      <c r="C220" s="5" t="s">
        <v>140</v>
      </c>
      <c r="D220" s="15">
        <v>5700</v>
      </c>
      <c r="E220" s="15">
        <v>5700</v>
      </c>
      <c r="F220" s="19">
        <f>F221/D221</f>
        <v>3.995897029845509E-2</v>
      </c>
    </row>
    <row r="221" spans="1:6">
      <c r="A221" s="1"/>
      <c r="B221" s="2"/>
      <c r="C221" s="4" t="s">
        <v>142</v>
      </c>
      <c r="D221" s="16">
        <f>D208+D209+D210+D211+D212+D213+D214+D215+D216+D217+D218+D219+D220</f>
        <v>555695</v>
      </c>
      <c r="E221" s="16">
        <f>SUM(E208:E220)</f>
        <v>577900</v>
      </c>
      <c r="F221" s="18">
        <f>E221-D221</f>
        <v>22205</v>
      </c>
    </row>
    <row r="222" spans="1:6">
      <c r="A222" s="1"/>
      <c r="B222" s="5"/>
      <c r="C222" s="5"/>
    </row>
    <row r="223" spans="1:6">
      <c r="A223" s="1">
        <v>400</v>
      </c>
      <c r="B223" s="3">
        <v>423</v>
      </c>
      <c r="C223" s="5" t="s">
        <v>143</v>
      </c>
      <c r="D223" s="15">
        <v>20000</v>
      </c>
      <c r="E223" s="15">
        <v>20000</v>
      </c>
    </row>
    <row r="224" spans="1:6">
      <c r="A224" s="1">
        <v>400</v>
      </c>
      <c r="B224" s="3">
        <v>423</v>
      </c>
      <c r="C224" s="5" t="s">
        <v>144</v>
      </c>
      <c r="D224" s="15">
        <v>4000</v>
      </c>
      <c r="E224" s="15">
        <v>4000</v>
      </c>
    </row>
    <row r="225" spans="1:6">
      <c r="A225" s="1">
        <v>400</v>
      </c>
      <c r="B225" s="3">
        <v>423</v>
      </c>
      <c r="C225" s="5" t="s">
        <v>145</v>
      </c>
      <c r="D225" s="15">
        <v>20000</v>
      </c>
      <c r="E225" s="15">
        <v>20000</v>
      </c>
    </row>
    <row r="226" spans="1:6">
      <c r="A226" s="1">
        <v>400</v>
      </c>
      <c r="B226" s="3">
        <v>423</v>
      </c>
      <c r="C226" s="5" t="s">
        <v>146</v>
      </c>
      <c r="D226" s="15">
        <v>18000</v>
      </c>
      <c r="E226" s="15">
        <v>18000</v>
      </c>
    </row>
    <row r="227" spans="1:6">
      <c r="A227" s="1">
        <v>400</v>
      </c>
      <c r="B227" s="3">
        <v>423</v>
      </c>
      <c r="C227" s="5" t="s">
        <v>147</v>
      </c>
      <c r="D227" s="15">
        <v>63000</v>
      </c>
      <c r="E227" s="15">
        <v>63000</v>
      </c>
    </row>
    <row r="228" spans="1:6">
      <c r="A228" s="1"/>
      <c r="B228" s="2"/>
      <c r="C228" s="4" t="s">
        <v>148</v>
      </c>
      <c r="D228" s="16">
        <f>D223+D224+D225+D226+D227</f>
        <v>125000</v>
      </c>
      <c r="E228" s="16">
        <f>SUM(E223:E227)</f>
        <v>125000</v>
      </c>
      <c r="F228" s="18">
        <v>0</v>
      </c>
    </row>
    <row r="229" spans="1:6">
      <c r="A229" s="1"/>
      <c r="B229" s="5"/>
      <c r="C229" s="5"/>
    </row>
    <row r="230" spans="1:6">
      <c r="A230" s="1">
        <v>400</v>
      </c>
      <c r="B230" s="3">
        <v>424</v>
      </c>
      <c r="C230" s="5" t="s">
        <v>149</v>
      </c>
      <c r="D230" s="15">
        <v>55000</v>
      </c>
      <c r="E230" s="15">
        <v>55000</v>
      </c>
    </row>
    <row r="231" spans="1:6">
      <c r="A231" s="1"/>
      <c r="B231" s="2"/>
      <c r="C231" s="4" t="s">
        <v>150</v>
      </c>
      <c r="D231" s="16">
        <f>D230</f>
        <v>55000</v>
      </c>
      <c r="E231" s="16">
        <f>SUM(E230)</f>
        <v>55000</v>
      </c>
      <c r="F231" s="18">
        <v>0</v>
      </c>
    </row>
    <row r="232" spans="1:6">
      <c r="A232" s="1"/>
      <c r="B232" s="5"/>
      <c r="C232" s="5"/>
    </row>
    <row r="233" spans="1:6">
      <c r="A233" s="1">
        <v>400</v>
      </c>
      <c r="B233" s="3">
        <v>440</v>
      </c>
      <c r="C233" s="5" t="s">
        <v>18</v>
      </c>
      <c r="D233" s="15">
        <v>292940</v>
      </c>
      <c r="E233" s="15">
        <v>317511</v>
      </c>
    </row>
    <row r="234" spans="1:6">
      <c r="A234" s="1">
        <v>400</v>
      </c>
      <c r="B234" s="3">
        <v>440</v>
      </c>
      <c r="C234" s="5" t="s">
        <v>0</v>
      </c>
      <c r="D234" s="15">
        <v>990</v>
      </c>
      <c r="E234" s="15">
        <v>990</v>
      </c>
    </row>
    <row r="235" spans="1:6">
      <c r="A235" s="1">
        <v>400</v>
      </c>
      <c r="B235" s="2">
        <v>440</v>
      </c>
      <c r="C235" s="10" t="s">
        <v>72</v>
      </c>
      <c r="D235" s="15">
        <v>28000</v>
      </c>
      <c r="E235" s="15">
        <v>28000</v>
      </c>
    </row>
    <row r="236" spans="1:6">
      <c r="A236" s="1">
        <v>400</v>
      </c>
      <c r="B236" s="3">
        <v>440</v>
      </c>
      <c r="C236" s="5" t="s">
        <v>9</v>
      </c>
      <c r="D236" s="15">
        <v>9000</v>
      </c>
      <c r="E236" s="15">
        <v>9000</v>
      </c>
    </row>
    <row r="237" spans="1:6">
      <c r="A237" s="6">
        <v>400</v>
      </c>
      <c r="B237" s="3">
        <v>440</v>
      </c>
      <c r="C237" s="10" t="s">
        <v>151</v>
      </c>
      <c r="D237" s="15">
        <v>4959</v>
      </c>
      <c r="E237" s="15">
        <v>5502</v>
      </c>
    </row>
    <row r="238" spans="1:6">
      <c r="A238" s="1">
        <v>400</v>
      </c>
      <c r="B238" s="3">
        <v>440</v>
      </c>
      <c r="C238" s="5" t="s">
        <v>152</v>
      </c>
      <c r="D238" s="15">
        <v>9970</v>
      </c>
      <c r="E238" s="15">
        <v>10027</v>
      </c>
    </row>
    <row r="239" spans="1:6">
      <c r="A239" s="1">
        <v>400</v>
      </c>
      <c r="B239" s="3">
        <v>440</v>
      </c>
      <c r="C239" s="5" t="s">
        <v>149</v>
      </c>
      <c r="D239" s="15">
        <v>70000</v>
      </c>
      <c r="E239" s="15">
        <v>70000</v>
      </c>
    </row>
    <row r="240" spans="1:6">
      <c r="A240" s="1">
        <v>400</v>
      </c>
      <c r="B240" s="3">
        <v>440</v>
      </c>
      <c r="C240" s="5" t="s">
        <v>153</v>
      </c>
      <c r="D240" s="15">
        <v>25000</v>
      </c>
      <c r="E240" s="15">
        <v>25000</v>
      </c>
    </row>
    <row r="241" spans="1:5">
      <c r="A241" s="1">
        <v>400</v>
      </c>
      <c r="B241" s="3">
        <v>440</v>
      </c>
      <c r="C241" s="5" t="s">
        <v>154</v>
      </c>
      <c r="D241" s="15">
        <v>17290</v>
      </c>
      <c r="E241" s="15">
        <v>17290</v>
      </c>
    </row>
    <row r="242" spans="1:5">
      <c r="A242" s="1">
        <v>400</v>
      </c>
      <c r="B242" s="3">
        <v>440</v>
      </c>
      <c r="C242" s="5" t="s">
        <v>155</v>
      </c>
      <c r="D242" s="15">
        <v>10000</v>
      </c>
      <c r="E242" s="15">
        <v>10000</v>
      </c>
    </row>
    <row r="243" spans="1:5">
      <c r="A243" s="1">
        <v>400</v>
      </c>
      <c r="B243" s="3">
        <v>440</v>
      </c>
      <c r="C243" s="5" t="s">
        <v>156</v>
      </c>
      <c r="D243" s="15">
        <v>7410</v>
      </c>
      <c r="E243" s="15">
        <v>7410</v>
      </c>
    </row>
    <row r="244" spans="1:5">
      <c r="A244" s="1">
        <v>400</v>
      </c>
      <c r="B244" s="3">
        <v>440</v>
      </c>
      <c r="C244" s="5" t="s">
        <v>157</v>
      </c>
      <c r="D244" s="15">
        <v>4700</v>
      </c>
      <c r="E244" s="15">
        <v>4700</v>
      </c>
    </row>
    <row r="245" spans="1:5">
      <c r="A245" s="1">
        <v>400</v>
      </c>
      <c r="B245" s="3">
        <v>440</v>
      </c>
      <c r="C245" s="5" t="s">
        <v>158</v>
      </c>
      <c r="D245" s="15">
        <v>6440</v>
      </c>
      <c r="E245" s="15">
        <v>6440</v>
      </c>
    </row>
    <row r="246" spans="1:5">
      <c r="A246" s="1">
        <v>400</v>
      </c>
      <c r="B246" s="3">
        <v>440</v>
      </c>
      <c r="C246" s="5" t="s">
        <v>159</v>
      </c>
      <c r="D246" s="15">
        <v>102000</v>
      </c>
      <c r="E246" s="15">
        <v>108500</v>
      </c>
    </row>
    <row r="247" spans="1:5">
      <c r="A247" s="1">
        <v>400</v>
      </c>
      <c r="B247" s="3">
        <v>440</v>
      </c>
      <c r="C247" s="5" t="s">
        <v>160</v>
      </c>
      <c r="D247" s="15">
        <v>107800</v>
      </c>
      <c r="E247" s="15">
        <v>107800</v>
      </c>
    </row>
    <row r="248" spans="1:5">
      <c r="A248" s="1">
        <v>400</v>
      </c>
      <c r="B248" s="3">
        <v>440</v>
      </c>
      <c r="C248" s="5" t="s">
        <v>121</v>
      </c>
      <c r="D248" s="15">
        <v>79300</v>
      </c>
      <c r="E248" s="15">
        <v>79300</v>
      </c>
    </row>
    <row r="249" spans="1:5">
      <c r="A249" s="1">
        <v>400</v>
      </c>
      <c r="B249" s="3">
        <v>440</v>
      </c>
      <c r="C249" s="5" t="s">
        <v>161</v>
      </c>
      <c r="D249" s="15">
        <v>5800</v>
      </c>
      <c r="E249" s="15">
        <v>5800</v>
      </c>
    </row>
    <row r="250" spans="1:5">
      <c r="A250" s="1">
        <v>400</v>
      </c>
      <c r="B250" s="3">
        <v>440</v>
      </c>
      <c r="C250" s="5" t="s">
        <v>5</v>
      </c>
      <c r="D250" s="15">
        <v>2100</v>
      </c>
      <c r="E250" s="15">
        <v>2100</v>
      </c>
    </row>
    <row r="251" spans="1:5">
      <c r="A251" s="1">
        <v>400</v>
      </c>
      <c r="B251" s="3">
        <v>440</v>
      </c>
      <c r="C251" s="5" t="s">
        <v>104</v>
      </c>
      <c r="D251" s="15">
        <v>46444</v>
      </c>
      <c r="E251" s="15">
        <v>58984</v>
      </c>
    </row>
    <row r="252" spans="1:5">
      <c r="A252" s="1">
        <v>400</v>
      </c>
      <c r="B252" s="2">
        <v>440</v>
      </c>
      <c r="C252" s="10" t="s">
        <v>103</v>
      </c>
      <c r="D252" s="15">
        <v>23168</v>
      </c>
      <c r="E252" s="15">
        <v>21640</v>
      </c>
    </row>
    <row r="253" spans="1:5">
      <c r="A253" s="1">
        <v>400</v>
      </c>
      <c r="B253" s="3">
        <v>440</v>
      </c>
      <c r="C253" s="5" t="s">
        <v>106</v>
      </c>
      <c r="D253" s="15">
        <v>1560</v>
      </c>
      <c r="E253" s="15">
        <v>5788</v>
      </c>
    </row>
    <row r="254" spans="1:5">
      <c r="A254" s="1">
        <v>400</v>
      </c>
      <c r="B254" s="3">
        <v>440</v>
      </c>
      <c r="C254" s="5" t="s">
        <v>162</v>
      </c>
      <c r="D254" s="15">
        <v>2865</v>
      </c>
      <c r="E254" s="15">
        <v>9981</v>
      </c>
    </row>
    <row r="255" spans="1:5">
      <c r="A255" s="1">
        <v>400</v>
      </c>
      <c r="B255" s="3">
        <v>440</v>
      </c>
      <c r="C255" s="5" t="s">
        <v>141</v>
      </c>
      <c r="D255" s="15">
        <v>70000</v>
      </c>
      <c r="E255" s="15">
        <v>70000</v>
      </c>
    </row>
    <row r="256" spans="1:5">
      <c r="A256" s="1">
        <v>400</v>
      </c>
      <c r="B256" s="3">
        <v>440</v>
      </c>
      <c r="C256" s="5" t="s">
        <v>163</v>
      </c>
      <c r="D256" s="15">
        <v>0</v>
      </c>
      <c r="E256" s="15">
        <v>0</v>
      </c>
    </row>
    <row r="257" spans="1:6">
      <c r="A257" s="1">
        <v>400</v>
      </c>
      <c r="B257" s="3">
        <v>440</v>
      </c>
      <c r="C257" s="5" t="s">
        <v>42</v>
      </c>
      <c r="D257" s="15">
        <v>1000</v>
      </c>
      <c r="E257" s="15">
        <v>1000</v>
      </c>
      <c r="F257" s="19">
        <f>F258/D258</f>
        <v>5.8172613099955209E-2</v>
      </c>
    </row>
    <row r="258" spans="1:6">
      <c r="A258" s="1"/>
      <c r="B258" s="3"/>
      <c r="C258" s="4" t="s">
        <v>164</v>
      </c>
      <c r="D258" s="16">
        <v>928736</v>
      </c>
      <c r="E258" s="16">
        <f>SUM(E233:E257)</f>
        <v>982763</v>
      </c>
      <c r="F258" s="18">
        <f>E258-D258</f>
        <v>54027</v>
      </c>
    </row>
    <row r="259" spans="1:6">
      <c r="A259" s="1"/>
      <c r="B259" s="5"/>
      <c r="C259" s="5"/>
    </row>
    <row r="260" spans="1:6">
      <c r="A260" s="1">
        <v>400</v>
      </c>
      <c r="B260" s="3">
        <v>450</v>
      </c>
      <c r="C260" s="5" t="s">
        <v>18</v>
      </c>
      <c r="D260" s="15">
        <v>231840</v>
      </c>
      <c r="E260" s="15">
        <v>248451.33</v>
      </c>
    </row>
    <row r="261" spans="1:6">
      <c r="A261" s="1">
        <v>400</v>
      </c>
      <c r="B261" s="3">
        <v>450</v>
      </c>
      <c r="C261" s="5" t="s">
        <v>0</v>
      </c>
      <c r="D261" s="15">
        <v>990</v>
      </c>
      <c r="E261" s="15">
        <v>990</v>
      </c>
    </row>
    <row r="262" spans="1:6">
      <c r="A262" s="1">
        <v>400</v>
      </c>
      <c r="B262" s="3">
        <v>450</v>
      </c>
      <c r="C262" s="5" t="s">
        <v>72</v>
      </c>
      <c r="D262" s="15">
        <v>33500</v>
      </c>
      <c r="E262" s="15">
        <v>33500</v>
      </c>
    </row>
    <row r="263" spans="1:6">
      <c r="A263" s="1">
        <v>400</v>
      </c>
      <c r="B263" s="2">
        <v>450</v>
      </c>
      <c r="C263" s="10" t="s">
        <v>9</v>
      </c>
      <c r="D263" s="15">
        <v>10000</v>
      </c>
      <c r="E263" s="15">
        <v>12000</v>
      </c>
    </row>
    <row r="264" spans="1:6">
      <c r="A264" s="1">
        <v>400</v>
      </c>
      <c r="B264" s="3">
        <v>450</v>
      </c>
      <c r="C264" s="5" t="s">
        <v>165</v>
      </c>
      <c r="D264" s="15">
        <v>14929</v>
      </c>
      <c r="E264" s="15">
        <v>15529</v>
      </c>
    </row>
    <row r="265" spans="1:6">
      <c r="A265" s="1">
        <v>400</v>
      </c>
      <c r="B265" s="3">
        <v>450</v>
      </c>
      <c r="C265" s="5" t="s">
        <v>149</v>
      </c>
      <c r="D265" s="15">
        <v>61000</v>
      </c>
      <c r="E265" s="15">
        <v>72000</v>
      </c>
    </row>
    <row r="266" spans="1:6">
      <c r="A266" s="1">
        <v>400</v>
      </c>
      <c r="B266" s="3">
        <v>450</v>
      </c>
      <c r="C266" s="5" t="s">
        <v>166</v>
      </c>
      <c r="D266" s="15">
        <v>0</v>
      </c>
      <c r="E266" s="15">
        <v>0</v>
      </c>
    </row>
    <row r="267" spans="1:6">
      <c r="A267" s="1">
        <v>400</v>
      </c>
      <c r="B267" s="2">
        <v>450</v>
      </c>
      <c r="C267" s="10" t="s">
        <v>167</v>
      </c>
      <c r="D267" s="15">
        <v>49000</v>
      </c>
      <c r="E267" s="15">
        <v>49000</v>
      </c>
    </row>
    <row r="268" spans="1:6">
      <c r="A268" s="1">
        <v>400</v>
      </c>
      <c r="B268" s="3">
        <v>450</v>
      </c>
      <c r="C268" s="5" t="s">
        <v>168</v>
      </c>
      <c r="D268" s="15">
        <v>5600</v>
      </c>
      <c r="E268" s="15">
        <v>6800</v>
      </c>
    </row>
    <row r="269" spans="1:6">
      <c r="A269" s="1">
        <v>400</v>
      </c>
      <c r="B269" s="3">
        <v>450</v>
      </c>
      <c r="C269" s="5" t="s">
        <v>169</v>
      </c>
      <c r="D269" s="15">
        <v>5000</v>
      </c>
      <c r="E269" s="15">
        <v>0</v>
      </c>
    </row>
    <row r="270" spans="1:6">
      <c r="A270" s="1">
        <v>400</v>
      </c>
      <c r="B270" s="2">
        <v>450</v>
      </c>
      <c r="C270" s="10" t="s">
        <v>170</v>
      </c>
      <c r="D270" s="15">
        <v>5400</v>
      </c>
      <c r="E270" s="15">
        <v>5600</v>
      </c>
    </row>
    <row r="271" spans="1:6">
      <c r="A271" s="1">
        <v>400</v>
      </c>
      <c r="B271" s="3">
        <v>450</v>
      </c>
      <c r="C271" s="5" t="s">
        <v>157</v>
      </c>
      <c r="D271" s="15">
        <v>4700</v>
      </c>
      <c r="E271" s="15">
        <v>4700</v>
      </c>
    </row>
    <row r="272" spans="1:6">
      <c r="A272" s="6">
        <v>400</v>
      </c>
      <c r="B272" s="3">
        <v>450</v>
      </c>
      <c r="C272" s="10" t="s">
        <v>158</v>
      </c>
      <c r="D272" s="15">
        <v>8440</v>
      </c>
      <c r="E272" s="15">
        <v>0</v>
      </c>
    </row>
    <row r="273" spans="1:5">
      <c r="A273" s="1">
        <v>400</v>
      </c>
      <c r="B273" s="3">
        <v>450</v>
      </c>
      <c r="C273" s="5" t="s">
        <v>171</v>
      </c>
      <c r="D273" s="15">
        <v>0</v>
      </c>
      <c r="E273" s="15">
        <v>0</v>
      </c>
    </row>
    <row r="274" spans="1:5">
      <c r="A274" s="1">
        <v>400</v>
      </c>
      <c r="B274" s="3">
        <v>450</v>
      </c>
      <c r="C274" s="5" t="s">
        <v>172</v>
      </c>
      <c r="D274" s="15">
        <v>50800</v>
      </c>
      <c r="E274" s="15">
        <v>59500</v>
      </c>
    </row>
    <row r="275" spans="1:5">
      <c r="A275" s="1">
        <v>400</v>
      </c>
      <c r="B275" s="3">
        <v>450</v>
      </c>
      <c r="C275" s="5" t="s">
        <v>12</v>
      </c>
      <c r="D275" s="15">
        <v>4800</v>
      </c>
      <c r="E275" s="15">
        <v>4800</v>
      </c>
    </row>
    <row r="276" spans="1:5">
      <c r="A276" s="1">
        <v>400</v>
      </c>
      <c r="B276" s="3">
        <v>450</v>
      </c>
      <c r="C276" s="5" t="s">
        <v>173</v>
      </c>
      <c r="D276" s="15">
        <v>60000</v>
      </c>
      <c r="E276" s="15">
        <v>60000</v>
      </c>
    </row>
    <row r="277" spans="1:5">
      <c r="A277" s="1">
        <v>400</v>
      </c>
      <c r="B277" s="3">
        <v>450</v>
      </c>
      <c r="C277" s="5" t="s">
        <v>174</v>
      </c>
      <c r="D277" s="15">
        <v>5000</v>
      </c>
      <c r="E277" s="15">
        <v>5000</v>
      </c>
    </row>
    <row r="278" spans="1:5">
      <c r="A278" s="1">
        <v>400</v>
      </c>
      <c r="B278" s="3">
        <v>450</v>
      </c>
      <c r="C278" s="5" t="s">
        <v>5</v>
      </c>
      <c r="D278" s="15">
        <v>3500</v>
      </c>
      <c r="E278" s="15">
        <v>3500</v>
      </c>
    </row>
    <row r="279" spans="1:5">
      <c r="A279" s="1">
        <v>400</v>
      </c>
      <c r="B279" s="3">
        <v>450</v>
      </c>
      <c r="C279" s="5" t="s">
        <v>104</v>
      </c>
      <c r="D279" s="15">
        <v>46069</v>
      </c>
      <c r="E279" s="15">
        <v>42655</v>
      </c>
    </row>
    <row r="280" spans="1:5">
      <c r="A280" s="1">
        <v>400</v>
      </c>
      <c r="B280" s="3">
        <v>450</v>
      </c>
      <c r="C280" s="5" t="s">
        <v>103</v>
      </c>
      <c r="D280" s="15">
        <v>21175</v>
      </c>
      <c r="E280" s="15">
        <v>31769</v>
      </c>
    </row>
    <row r="281" spans="1:5">
      <c r="A281" s="1">
        <v>400</v>
      </c>
      <c r="B281" s="3">
        <v>450</v>
      </c>
      <c r="C281" s="5" t="s">
        <v>106</v>
      </c>
      <c r="D281" s="15">
        <v>1560</v>
      </c>
      <c r="E281" s="15">
        <v>5788</v>
      </c>
    </row>
    <row r="282" spans="1:5">
      <c r="A282" s="1">
        <v>400</v>
      </c>
      <c r="B282" s="3">
        <v>450</v>
      </c>
      <c r="C282" s="5" t="s">
        <v>175</v>
      </c>
      <c r="D282" s="15">
        <v>2865</v>
      </c>
      <c r="E282" s="15">
        <v>9981</v>
      </c>
    </row>
    <row r="283" spans="1:5">
      <c r="A283" s="1">
        <v>400</v>
      </c>
      <c r="B283" s="3">
        <v>450</v>
      </c>
      <c r="C283" s="5" t="s">
        <v>176</v>
      </c>
      <c r="D283" s="15">
        <v>0</v>
      </c>
      <c r="E283" s="15">
        <v>0</v>
      </c>
    </row>
    <row r="284" spans="1:5">
      <c r="A284" s="1">
        <v>400</v>
      </c>
      <c r="B284" s="3">
        <v>450</v>
      </c>
      <c r="C284" s="5" t="s">
        <v>141</v>
      </c>
      <c r="D284" s="15">
        <v>60000</v>
      </c>
      <c r="E284" s="15">
        <v>72000</v>
      </c>
    </row>
    <row r="285" spans="1:5" hidden="1">
      <c r="A285" s="1">
        <v>400</v>
      </c>
      <c r="B285" s="3">
        <v>450</v>
      </c>
      <c r="C285" s="5" t="s">
        <v>177</v>
      </c>
      <c r="D285" s="15">
        <v>0</v>
      </c>
      <c r="E285" s="15">
        <v>0</v>
      </c>
    </row>
    <row r="286" spans="1:5" hidden="1">
      <c r="A286" s="1">
        <v>400</v>
      </c>
      <c r="B286" s="2">
        <v>450</v>
      </c>
      <c r="C286" s="10" t="s">
        <v>178</v>
      </c>
      <c r="D286" s="15">
        <v>0</v>
      </c>
      <c r="E286" s="15">
        <v>0</v>
      </c>
    </row>
    <row r="287" spans="1:5" hidden="1">
      <c r="A287" s="1">
        <v>400</v>
      </c>
      <c r="B287" s="3">
        <v>450</v>
      </c>
      <c r="C287" s="5" t="s">
        <v>179</v>
      </c>
      <c r="D287" s="15">
        <v>0</v>
      </c>
      <c r="E287" s="15">
        <v>0</v>
      </c>
    </row>
    <row r="288" spans="1:5" hidden="1">
      <c r="A288" s="1">
        <v>400</v>
      </c>
      <c r="B288" s="3">
        <v>450</v>
      </c>
      <c r="C288" s="5" t="s">
        <v>180</v>
      </c>
      <c r="D288" s="15">
        <v>0</v>
      </c>
      <c r="E288" s="15">
        <v>0</v>
      </c>
    </row>
    <row r="289" spans="1:6" hidden="1">
      <c r="A289" s="1">
        <v>400</v>
      </c>
      <c r="B289" s="3">
        <v>450</v>
      </c>
      <c r="C289" s="5" t="s">
        <v>181</v>
      </c>
      <c r="D289" s="15">
        <v>0</v>
      </c>
      <c r="E289" s="15">
        <v>0</v>
      </c>
    </row>
    <row r="290" spans="1:6" hidden="1">
      <c r="A290" s="1">
        <v>400</v>
      </c>
      <c r="B290" s="3">
        <v>450</v>
      </c>
      <c r="C290" s="5" t="s">
        <v>182</v>
      </c>
      <c r="D290" s="15">
        <v>0</v>
      </c>
      <c r="E290" s="15">
        <v>0</v>
      </c>
    </row>
    <row r="291" spans="1:6" hidden="1">
      <c r="A291" s="1">
        <v>400</v>
      </c>
      <c r="B291" s="3">
        <v>450</v>
      </c>
      <c r="C291" s="5" t="s">
        <v>183</v>
      </c>
      <c r="D291" s="15">
        <v>0</v>
      </c>
      <c r="E291" s="15">
        <v>0</v>
      </c>
    </row>
    <row r="292" spans="1:6" hidden="1">
      <c r="A292" s="1">
        <v>400</v>
      </c>
      <c r="B292" s="3">
        <v>450</v>
      </c>
      <c r="C292" s="5" t="s">
        <v>184</v>
      </c>
      <c r="D292" s="15">
        <v>0</v>
      </c>
      <c r="E292" s="15">
        <v>0</v>
      </c>
    </row>
    <row r="293" spans="1:6" hidden="1">
      <c r="A293" s="1">
        <v>400</v>
      </c>
      <c r="B293" s="3">
        <v>450</v>
      </c>
      <c r="C293" s="5" t="s">
        <v>185</v>
      </c>
      <c r="D293" s="15">
        <v>0</v>
      </c>
      <c r="E293" s="15">
        <v>0</v>
      </c>
    </row>
    <row r="294" spans="1:6" hidden="1">
      <c r="A294" s="1">
        <v>400</v>
      </c>
      <c r="B294" s="3">
        <v>450</v>
      </c>
      <c r="C294" s="5" t="s">
        <v>186</v>
      </c>
      <c r="D294" s="15">
        <v>0</v>
      </c>
      <c r="E294" s="15">
        <v>0</v>
      </c>
    </row>
    <row r="295" spans="1:6">
      <c r="A295" s="1">
        <v>400</v>
      </c>
      <c r="B295" s="3">
        <v>450</v>
      </c>
      <c r="C295" s="5" t="s">
        <v>187</v>
      </c>
      <c r="D295" s="15">
        <v>100000</v>
      </c>
      <c r="E295" s="15">
        <v>100000</v>
      </c>
    </row>
    <row r="296" spans="1:6">
      <c r="A296" s="1">
        <v>400</v>
      </c>
      <c r="B296" s="3">
        <v>450</v>
      </c>
      <c r="C296" s="5" t="s">
        <v>188</v>
      </c>
      <c r="D296" s="15">
        <v>15500</v>
      </c>
      <c r="E296" s="15">
        <v>15500</v>
      </c>
    </row>
    <row r="297" spans="1:6">
      <c r="A297" s="1">
        <v>400</v>
      </c>
      <c r="B297" s="3">
        <v>450</v>
      </c>
      <c r="C297" s="5" t="s">
        <v>42</v>
      </c>
      <c r="D297" s="15">
        <v>2000</v>
      </c>
      <c r="E297" s="15">
        <v>2000</v>
      </c>
      <c r="F297" s="19">
        <f>F298/D298</f>
        <v>7.1416716853227896E-2</v>
      </c>
    </row>
    <row r="298" spans="1:6">
      <c r="A298" s="1"/>
      <c r="B298" s="3"/>
      <c r="C298" s="4" t="s">
        <v>189</v>
      </c>
      <c r="D298" s="16">
        <v>803668</v>
      </c>
      <c r="E298" s="16">
        <f>SUM(E260:E297)</f>
        <v>861063.33</v>
      </c>
      <c r="F298" s="18">
        <f>E298-D298</f>
        <v>57395.329999999958</v>
      </c>
    </row>
    <row r="299" spans="1:6">
      <c r="A299" s="1"/>
      <c r="B299" s="10"/>
      <c r="C299" s="10"/>
    </row>
    <row r="300" spans="1:6">
      <c r="A300" s="1">
        <v>400</v>
      </c>
      <c r="B300" s="3">
        <v>491</v>
      </c>
      <c r="C300" s="5" t="s">
        <v>18</v>
      </c>
      <c r="D300" s="15">
        <v>0</v>
      </c>
      <c r="E300" s="15">
        <v>0</v>
      </c>
    </row>
    <row r="301" spans="1:6">
      <c r="A301" s="1">
        <v>400</v>
      </c>
      <c r="B301" s="3">
        <v>491</v>
      </c>
      <c r="C301" s="5" t="s">
        <v>124</v>
      </c>
      <c r="D301" s="15">
        <v>3350</v>
      </c>
      <c r="E301" s="15">
        <v>3350</v>
      </c>
    </row>
    <row r="302" spans="1:6">
      <c r="A302" s="1"/>
      <c r="B302" s="3"/>
      <c r="C302" s="4" t="s">
        <v>190</v>
      </c>
      <c r="D302" s="16">
        <v>3350</v>
      </c>
      <c r="E302" s="16">
        <f>SUM(E300:E301)</f>
        <v>3350</v>
      </c>
      <c r="F302" s="18">
        <v>0</v>
      </c>
    </row>
    <row r="303" spans="1:6">
      <c r="A303" s="1"/>
      <c r="B303" s="5"/>
      <c r="C303" s="5"/>
      <c r="F303" s="19">
        <f>F304/D304</f>
        <v>5.4068414925818854E-2</v>
      </c>
    </row>
    <row r="304" spans="1:6">
      <c r="A304" s="1"/>
      <c r="B304" s="7"/>
      <c r="C304" s="8" t="s">
        <v>191</v>
      </c>
      <c r="D304" s="17">
        <f>D221+D228+D231+D258+D298+D302</f>
        <v>2471449</v>
      </c>
      <c r="E304" s="17">
        <f>E221+E228+E231+E258+E298+E302</f>
        <v>2605076.33</v>
      </c>
      <c r="F304" s="18">
        <f>E304-D304</f>
        <v>133627.33000000007</v>
      </c>
    </row>
    <row r="305" spans="1:6">
      <c r="A305" s="9"/>
      <c r="B305" s="10"/>
      <c r="C305" s="10"/>
    </row>
    <row r="306" spans="1:6">
      <c r="A306" s="1">
        <v>500</v>
      </c>
      <c r="B306" s="3">
        <v>511</v>
      </c>
      <c r="C306" s="5" t="s">
        <v>18</v>
      </c>
      <c r="D306" s="15">
        <v>17280</v>
      </c>
      <c r="E306" s="15">
        <v>21178</v>
      </c>
    </row>
    <row r="307" spans="1:6">
      <c r="A307" s="1">
        <v>500</v>
      </c>
      <c r="B307" s="3">
        <v>511</v>
      </c>
      <c r="C307" s="5" t="s">
        <v>0</v>
      </c>
      <c r="D307" s="15">
        <v>1665</v>
      </c>
      <c r="E307" s="15">
        <v>1665</v>
      </c>
    </row>
    <row r="308" spans="1:6">
      <c r="A308" s="1">
        <v>500</v>
      </c>
      <c r="B308" s="3">
        <v>511</v>
      </c>
      <c r="C308" s="5" t="s">
        <v>9</v>
      </c>
      <c r="D308" s="15">
        <v>700</v>
      </c>
      <c r="E308" s="15">
        <v>0</v>
      </c>
    </row>
    <row r="309" spans="1:6">
      <c r="A309" s="1">
        <v>500</v>
      </c>
      <c r="B309" s="3">
        <v>511</v>
      </c>
      <c r="C309" s="5" t="s">
        <v>192</v>
      </c>
      <c r="D309" s="15">
        <v>1500</v>
      </c>
      <c r="E309" s="15">
        <v>1500</v>
      </c>
    </row>
    <row r="310" spans="1:6">
      <c r="A310" s="1">
        <v>500</v>
      </c>
      <c r="B310" s="2">
        <v>511</v>
      </c>
      <c r="C310" s="10" t="s">
        <v>193</v>
      </c>
      <c r="D310" s="15">
        <v>425000</v>
      </c>
      <c r="E310" s="15">
        <v>485000</v>
      </c>
    </row>
    <row r="311" spans="1:6">
      <c r="A311" s="1">
        <v>500</v>
      </c>
      <c r="B311" s="3">
        <v>511</v>
      </c>
      <c r="C311" s="5" t="s">
        <v>194</v>
      </c>
      <c r="D311" s="15">
        <v>7000</v>
      </c>
      <c r="E311" s="15">
        <v>7000</v>
      </c>
    </row>
    <row r="312" spans="1:6">
      <c r="A312" s="1">
        <v>500</v>
      </c>
      <c r="B312" s="3">
        <v>511</v>
      </c>
      <c r="C312" s="5" t="s">
        <v>3</v>
      </c>
      <c r="D312" s="15">
        <v>30000</v>
      </c>
      <c r="E312" s="15">
        <v>30000</v>
      </c>
    </row>
    <row r="313" spans="1:6">
      <c r="A313" s="1">
        <v>500</v>
      </c>
      <c r="B313" s="2">
        <v>511</v>
      </c>
      <c r="C313" s="10" t="s">
        <v>10</v>
      </c>
      <c r="D313" s="15">
        <v>480</v>
      </c>
      <c r="E313" s="15">
        <v>480</v>
      </c>
    </row>
    <row r="314" spans="1:6">
      <c r="A314" s="1">
        <v>500</v>
      </c>
      <c r="B314" s="3">
        <v>511</v>
      </c>
      <c r="C314" s="5" t="s">
        <v>195</v>
      </c>
      <c r="D314" s="15">
        <v>300</v>
      </c>
      <c r="E314" s="15">
        <v>300</v>
      </c>
    </row>
    <row r="315" spans="1:6">
      <c r="A315" s="1">
        <v>500</v>
      </c>
      <c r="B315" s="3">
        <v>511</v>
      </c>
      <c r="C315" s="5" t="s">
        <v>39</v>
      </c>
      <c r="D315" s="15">
        <v>746</v>
      </c>
      <c r="E315" s="15">
        <v>746</v>
      </c>
    </row>
    <row r="316" spans="1:6">
      <c r="A316" s="1">
        <v>500</v>
      </c>
      <c r="B316" s="2">
        <v>511</v>
      </c>
      <c r="C316" s="10" t="s">
        <v>5</v>
      </c>
      <c r="D316" s="15">
        <v>150</v>
      </c>
      <c r="E316" s="15">
        <v>150</v>
      </c>
      <c r="F316" s="19">
        <f>F317/D317</f>
        <v>0.13035326440067571</v>
      </c>
    </row>
    <row r="317" spans="1:6">
      <c r="A317" s="1"/>
      <c r="B317" s="3"/>
      <c r="C317" s="4" t="s">
        <v>196</v>
      </c>
      <c r="D317" s="16">
        <f>D306+D307+D308+D309+D310+D311+D312+D313+D314+D315+D316</f>
        <v>484821</v>
      </c>
      <c r="E317" s="16">
        <f>SUM(E306:E316)</f>
        <v>548019</v>
      </c>
      <c r="F317" s="18">
        <f>E317-D317</f>
        <v>63198</v>
      </c>
    </row>
    <row r="318" spans="1:6">
      <c r="A318" s="6"/>
      <c r="B318" s="5"/>
      <c r="C318" s="10"/>
    </row>
    <row r="319" spans="1:6">
      <c r="A319" s="1">
        <v>500</v>
      </c>
      <c r="B319" s="3">
        <v>541</v>
      </c>
      <c r="C319" s="5" t="s">
        <v>7</v>
      </c>
      <c r="D319" s="15">
        <v>58014</v>
      </c>
      <c r="E319" s="15">
        <v>59755</v>
      </c>
    </row>
    <row r="320" spans="1:6">
      <c r="A320" s="1">
        <v>500</v>
      </c>
      <c r="B320" s="3">
        <v>541</v>
      </c>
      <c r="C320" s="5" t="s">
        <v>197</v>
      </c>
      <c r="D320" s="15">
        <v>23012</v>
      </c>
      <c r="E320" s="15">
        <v>23703</v>
      </c>
    </row>
    <row r="321" spans="1:6">
      <c r="A321" s="1">
        <v>500</v>
      </c>
      <c r="B321" s="3">
        <v>541</v>
      </c>
      <c r="C321" s="5" t="s">
        <v>198</v>
      </c>
      <c r="D321" s="15">
        <v>2000</v>
      </c>
      <c r="E321" s="15">
        <v>2000</v>
      </c>
    </row>
    <row r="322" spans="1:6">
      <c r="A322" s="1">
        <v>500</v>
      </c>
      <c r="B322" s="3">
        <v>541</v>
      </c>
      <c r="C322" s="5" t="s">
        <v>199</v>
      </c>
      <c r="D322" s="15">
        <v>0</v>
      </c>
      <c r="E322" s="15">
        <v>0</v>
      </c>
    </row>
    <row r="323" spans="1:6">
      <c r="A323" s="1">
        <v>500</v>
      </c>
      <c r="B323" s="3">
        <v>541</v>
      </c>
      <c r="C323" s="5" t="s">
        <v>200</v>
      </c>
      <c r="D323" s="15">
        <v>20000</v>
      </c>
      <c r="E323" s="15">
        <v>20000</v>
      </c>
    </row>
    <row r="324" spans="1:6">
      <c r="A324" s="1">
        <v>500</v>
      </c>
      <c r="B324" s="3">
        <v>541</v>
      </c>
      <c r="C324" s="5" t="s">
        <v>12</v>
      </c>
      <c r="D324" s="15">
        <v>6125</v>
      </c>
      <c r="E324" s="15">
        <v>6125</v>
      </c>
    </row>
    <row r="325" spans="1:6">
      <c r="A325" s="1">
        <v>500</v>
      </c>
      <c r="B325" s="3">
        <v>541</v>
      </c>
      <c r="C325" s="5" t="s">
        <v>201</v>
      </c>
      <c r="D325" s="15">
        <v>1000</v>
      </c>
      <c r="E325" s="15">
        <v>1000</v>
      </c>
    </row>
    <row r="326" spans="1:6">
      <c r="A326" s="1">
        <v>500</v>
      </c>
      <c r="B326" s="3">
        <v>541</v>
      </c>
      <c r="C326" s="5" t="s">
        <v>5</v>
      </c>
      <c r="D326" s="15">
        <v>1000</v>
      </c>
      <c r="E326" s="15">
        <v>1000</v>
      </c>
    </row>
    <row r="327" spans="1:6">
      <c r="A327" s="1">
        <v>500</v>
      </c>
      <c r="B327" s="2">
        <v>541</v>
      </c>
      <c r="C327" s="10" t="s">
        <v>202</v>
      </c>
      <c r="D327" s="15">
        <v>1700</v>
      </c>
      <c r="E327" s="15">
        <v>1700</v>
      </c>
    </row>
    <row r="328" spans="1:6">
      <c r="A328" s="1">
        <v>500</v>
      </c>
      <c r="B328" s="2">
        <v>541</v>
      </c>
      <c r="C328" s="10" t="s">
        <v>347</v>
      </c>
      <c r="D328" s="15">
        <v>0</v>
      </c>
      <c r="E328" s="15">
        <v>700</v>
      </c>
      <c r="F328" s="19">
        <f>F329/D329</f>
        <v>2.7753409362788101E-2</v>
      </c>
    </row>
    <row r="329" spans="1:6">
      <c r="A329" s="1"/>
      <c r="B329" s="3"/>
      <c r="C329" s="4" t="s">
        <v>203</v>
      </c>
      <c r="D329" s="16">
        <f>D319+D320+D321+D322+D323+D324+D325+D326+D327+D328</f>
        <v>112851</v>
      </c>
      <c r="E329" s="16">
        <f>SUM(E319:E328)</f>
        <v>115983</v>
      </c>
      <c r="F329" s="18">
        <f>E329-D329</f>
        <v>3132</v>
      </c>
    </row>
    <row r="330" spans="1:6">
      <c r="A330" s="1"/>
      <c r="B330" s="5"/>
      <c r="C330" s="5"/>
    </row>
    <row r="331" spans="1:6">
      <c r="A331" s="1">
        <v>500</v>
      </c>
      <c r="B331" s="3">
        <v>543</v>
      </c>
      <c r="C331" s="5" t="s">
        <v>18</v>
      </c>
      <c r="D331" s="15">
        <v>3600</v>
      </c>
      <c r="E331" s="15">
        <v>3600</v>
      </c>
    </row>
    <row r="332" spans="1:6">
      <c r="A332" s="1">
        <v>500</v>
      </c>
      <c r="B332" s="3">
        <v>543</v>
      </c>
      <c r="C332" s="5" t="s">
        <v>204</v>
      </c>
      <c r="D332" s="15">
        <v>37000</v>
      </c>
      <c r="E332" s="15">
        <v>37000</v>
      </c>
    </row>
    <row r="333" spans="1:6">
      <c r="A333" s="1"/>
      <c r="B333" s="3"/>
      <c r="C333" s="4" t="s">
        <v>205</v>
      </c>
      <c r="D333" s="16">
        <v>40600</v>
      </c>
      <c r="E333" s="16">
        <f>SUM(E331:E332)</f>
        <v>40600</v>
      </c>
      <c r="F333" s="18">
        <v>0</v>
      </c>
    </row>
    <row r="334" spans="1:6">
      <c r="A334" s="1"/>
      <c r="B334" s="5"/>
      <c r="C334" s="5"/>
    </row>
    <row r="335" spans="1:6">
      <c r="A335" s="1">
        <v>500</v>
      </c>
      <c r="B335" s="3">
        <v>549</v>
      </c>
      <c r="C335" s="5" t="s">
        <v>49</v>
      </c>
      <c r="D335" s="15">
        <v>135</v>
      </c>
      <c r="E335" s="15">
        <v>135</v>
      </c>
    </row>
    <row r="336" spans="1:6">
      <c r="A336" s="1"/>
      <c r="B336" s="3"/>
      <c r="C336" s="4" t="s">
        <v>206</v>
      </c>
      <c r="D336" s="16">
        <v>135</v>
      </c>
      <c r="E336" s="16">
        <f>SUM(E335)</f>
        <v>135</v>
      </c>
      <c r="F336" s="18">
        <v>0</v>
      </c>
    </row>
    <row r="337" spans="1:7">
      <c r="A337" s="1"/>
      <c r="B337" s="10"/>
      <c r="C337" s="10"/>
      <c r="F337" s="19">
        <f>F338/D338</f>
        <v>0.10389923669383325</v>
      </c>
    </row>
    <row r="338" spans="1:7">
      <c r="A338" s="1"/>
      <c r="B338" s="7"/>
      <c r="C338" s="8" t="s">
        <v>207</v>
      </c>
      <c r="D338" s="17">
        <f>D317+D329+D333+D336</f>
        <v>638407</v>
      </c>
      <c r="E338" s="17">
        <f>E317+E329+E333+E336</f>
        <v>704737</v>
      </c>
      <c r="F338" s="18">
        <f>E338-D338</f>
        <v>66330</v>
      </c>
    </row>
    <row r="339" spans="1:7">
      <c r="A339" s="9"/>
      <c r="B339" s="5"/>
      <c r="C339" s="5"/>
    </row>
    <row r="340" spans="1:7">
      <c r="A340" s="1">
        <v>600</v>
      </c>
      <c r="B340" s="3">
        <v>610</v>
      </c>
      <c r="C340" s="5" t="s">
        <v>18</v>
      </c>
      <c r="D340" s="15">
        <v>174113</v>
      </c>
      <c r="E340" s="15">
        <v>178439</v>
      </c>
    </row>
    <row r="341" spans="1:7">
      <c r="A341" s="1">
        <v>600</v>
      </c>
      <c r="B341" s="3">
        <v>610</v>
      </c>
      <c r="C341" s="5" t="s">
        <v>149</v>
      </c>
      <c r="D341" s="15">
        <v>14000</v>
      </c>
      <c r="E341" s="15">
        <v>14000</v>
      </c>
      <c r="G341" s="15"/>
    </row>
    <row r="342" spans="1:7">
      <c r="A342" s="1">
        <v>600</v>
      </c>
      <c r="B342" s="2">
        <v>610</v>
      </c>
      <c r="C342" s="10" t="s">
        <v>23</v>
      </c>
      <c r="D342" s="15">
        <v>18289</v>
      </c>
      <c r="E342" s="15">
        <v>18289</v>
      </c>
    </row>
    <row r="343" spans="1:7">
      <c r="A343" s="1">
        <v>600</v>
      </c>
      <c r="B343" s="3">
        <v>610</v>
      </c>
      <c r="C343" s="5" t="s">
        <v>208</v>
      </c>
      <c r="D343" s="15">
        <v>9331</v>
      </c>
      <c r="E343" s="15">
        <v>9116</v>
      </c>
    </row>
    <row r="344" spans="1:7">
      <c r="A344" s="6">
        <v>600</v>
      </c>
      <c r="B344" s="3">
        <v>610</v>
      </c>
      <c r="C344" s="10" t="s">
        <v>11</v>
      </c>
      <c r="D344" s="15">
        <v>100</v>
      </c>
      <c r="E344" s="15">
        <v>100</v>
      </c>
    </row>
    <row r="345" spans="1:7">
      <c r="A345" s="1">
        <v>600</v>
      </c>
      <c r="B345" s="3">
        <v>610</v>
      </c>
      <c r="C345" s="5" t="s">
        <v>209</v>
      </c>
      <c r="D345" s="15">
        <v>51376</v>
      </c>
      <c r="E345" s="15">
        <v>51376</v>
      </c>
    </row>
    <row r="346" spans="1:7">
      <c r="A346" s="1">
        <v>600</v>
      </c>
      <c r="B346" s="3">
        <v>610</v>
      </c>
      <c r="C346" s="5" t="s">
        <v>39</v>
      </c>
      <c r="D346" s="15">
        <v>4400</v>
      </c>
      <c r="E346" s="15">
        <v>4400</v>
      </c>
    </row>
    <row r="347" spans="1:7">
      <c r="A347" s="1">
        <v>600</v>
      </c>
      <c r="B347" s="3">
        <v>610</v>
      </c>
      <c r="C347" s="5" t="s">
        <v>210</v>
      </c>
      <c r="D347" s="15">
        <v>550</v>
      </c>
      <c r="E347" s="15">
        <v>550</v>
      </c>
    </row>
    <row r="348" spans="1:7">
      <c r="A348" s="1">
        <v>600</v>
      </c>
      <c r="B348" s="2">
        <v>610</v>
      </c>
      <c r="C348" s="10" t="s">
        <v>211</v>
      </c>
      <c r="D348" s="15">
        <v>900</v>
      </c>
      <c r="E348" s="15">
        <v>900</v>
      </c>
    </row>
    <row r="349" spans="1:7">
      <c r="A349" s="1">
        <v>600</v>
      </c>
      <c r="B349" s="3">
        <v>610</v>
      </c>
      <c r="C349" s="5" t="s">
        <v>0</v>
      </c>
      <c r="D349" s="15">
        <v>1440</v>
      </c>
      <c r="E349" s="15">
        <v>1440</v>
      </c>
    </row>
    <row r="350" spans="1:7">
      <c r="A350" s="1">
        <v>600</v>
      </c>
      <c r="B350" s="3">
        <v>610</v>
      </c>
      <c r="C350" s="5" t="s">
        <v>10</v>
      </c>
      <c r="D350" s="15">
        <v>400</v>
      </c>
      <c r="E350" s="15">
        <v>400</v>
      </c>
    </row>
    <row r="351" spans="1:7">
      <c r="A351" s="1">
        <v>600</v>
      </c>
      <c r="B351" s="2">
        <v>610</v>
      </c>
      <c r="C351" s="10" t="s">
        <v>348</v>
      </c>
      <c r="D351" s="15">
        <v>640</v>
      </c>
      <c r="E351" s="15">
        <v>640</v>
      </c>
      <c r="F351" s="19">
        <f>F352/D352</f>
        <v>1.4919848006997194E-2</v>
      </c>
    </row>
    <row r="352" spans="1:7">
      <c r="A352" s="1"/>
      <c r="B352" s="3"/>
      <c r="C352" s="4" t="s">
        <v>212</v>
      </c>
      <c r="D352" s="16">
        <f>D340+D341+D342+D343+D344+D345+D346+D347+D348+D349+D350+D351</f>
        <v>275539</v>
      </c>
      <c r="E352" s="16">
        <f>SUM(E340:E351)</f>
        <v>279650</v>
      </c>
      <c r="F352" s="18">
        <f>E352-D352</f>
        <v>4111</v>
      </c>
    </row>
    <row r="353" spans="1:6">
      <c r="A353" s="1"/>
      <c r="B353" s="5"/>
      <c r="C353" s="5"/>
    </row>
    <row r="354" spans="1:6">
      <c r="A354" s="1">
        <v>600</v>
      </c>
      <c r="B354" s="2">
        <v>650</v>
      </c>
      <c r="C354" s="10" t="s">
        <v>18</v>
      </c>
      <c r="D354" s="15">
        <v>26353.332000000002</v>
      </c>
      <c r="E354" s="15">
        <v>27144</v>
      </c>
    </row>
    <row r="355" spans="1:6">
      <c r="A355" s="1">
        <v>600</v>
      </c>
      <c r="B355" s="3">
        <v>650</v>
      </c>
      <c r="C355" s="5" t="s">
        <v>0</v>
      </c>
      <c r="D355" s="15">
        <v>1440</v>
      </c>
      <c r="E355" s="15">
        <v>1440</v>
      </c>
    </row>
    <row r="356" spans="1:6">
      <c r="A356" s="1">
        <v>600</v>
      </c>
      <c r="B356" s="3">
        <v>650</v>
      </c>
      <c r="C356" s="5" t="s">
        <v>9</v>
      </c>
      <c r="D356" s="15">
        <v>2700</v>
      </c>
      <c r="E356" s="15">
        <v>2700</v>
      </c>
    </row>
    <row r="357" spans="1:6">
      <c r="A357" s="1">
        <v>600</v>
      </c>
      <c r="B357" s="2">
        <v>650</v>
      </c>
      <c r="C357" s="10" t="s">
        <v>213</v>
      </c>
      <c r="D357" s="15">
        <v>5000</v>
      </c>
      <c r="E357" s="15">
        <v>5000</v>
      </c>
    </row>
    <row r="358" spans="1:6">
      <c r="A358" s="1">
        <v>600</v>
      </c>
      <c r="B358" s="3">
        <v>650</v>
      </c>
      <c r="C358" s="5" t="s">
        <v>149</v>
      </c>
      <c r="D358" s="15">
        <v>4000</v>
      </c>
      <c r="E358" s="15">
        <v>4000</v>
      </c>
    </row>
    <row r="359" spans="1:6">
      <c r="A359" s="1">
        <v>600</v>
      </c>
      <c r="B359" s="3">
        <v>650</v>
      </c>
      <c r="C359" s="5" t="s">
        <v>23</v>
      </c>
      <c r="D359" s="15">
        <v>12200</v>
      </c>
      <c r="E359" s="15">
        <v>12200</v>
      </c>
    </row>
    <row r="360" spans="1:6">
      <c r="A360" s="1">
        <v>600</v>
      </c>
      <c r="B360" s="2">
        <v>650</v>
      </c>
      <c r="C360" s="10" t="s">
        <v>39</v>
      </c>
      <c r="D360" s="15">
        <v>1500</v>
      </c>
      <c r="E360" s="15">
        <v>1500</v>
      </c>
    </row>
    <row r="361" spans="1:6">
      <c r="A361" s="1">
        <v>600</v>
      </c>
      <c r="B361" s="3">
        <v>650</v>
      </c>
      <c r="C361" s="5" t="s">
        <v>214</v>
      </c>
      <c r="D361" s="15">
        <v>0</v>
      </c>
      <c r="E361" s="15">
        <v>0</v>
      </c>
    </row>
    <row r="362" spans="1:6">
      <c r="A362" s="6">
        <v>600</v>
      </c>
      <c r="B362" s="3">
        <v>650</v>
      </c>
      <c r="C362" s="10" t="s">
        <v>215</v>
      </c>
      <c r="D362" s="15">
        <v>3200</v>
      </c>
      <c r="E362" s="15">
        <v>3200</v>
      </c>
    </row>
    <row r="363" spans="1:6">
      <c r="A363" s="1">
        <v>600</v>
      </c>
      <c r="B363" s="3">
        <v>650</v>
      </c>
      <c r="C363" s="5" t="s">
        <v>216</v>
      </c>
      <c r="D363" s="15">
        <v>0</v>
      </c>
      <c r="E363" s="15">
        <v>0</v>
      </c>
    </row>
    <row r="364" spans="1:6">
      <c r="A364" s="1">
        <v>600</v>
      </c>
      <c r="B364" s="3">
        <v>650</v>
      </c>
      <c r="C364" s="5" t="s">
        <v>141</v>
      </c>
      <c r="D364" s="15">
        <v>0</v>
      </c>
      <c r="E364" s="15">
        <v>0</v>
      </c>
      <c r="F364" s="19">
        <f>F365/D365</f>
        <v>1.4020593782257765E-2</v>
      </c>
    </row>
    <row r="365" spans="1:6">
      <c r="A365" s="1"/>
      <c r="B365" s="2"/>
      <c r="C365" s="4" t="s">
        <v>217</v>
      </c>
      <c r="D365" s="16">
        <f>D354+D355+D356+D357+D358+D359+D360+D361+D3708+D362+D363+D364</f>
        <v>56393.332000000002</v>
      </c>
      <c r="E365" s="16">
        <f>SUM(E354:E364)</f>
        <v>57184</v>
      </c>
      <c r="F365" s="18">
        <f>E365-D365</f>
        <v>790.66799999999785</v>
      </c>
    </row>
    <row r="366" spans="1:6">
      <c r="A366" s="1"/>
      <c r="B366" s="5"/>
      <c r="C366" s="5"/>
    </row>
    <row r="367" spans="1:6">
      <c r="A367" s="1">
        <v>600</v>
      </c>
      <c r="B367" s="3">
        <v>691</v>
      </c>
      <c r="C367" s="5" t="s">
        <v>1</v>
      </c>
      <c r="D367" s="15">
        <v>1350</v>
      </c>
      <c r="E367" s="15">
        <v>1350</v>
      </c>
    </row>
    <row r="368" spans="1:6">
      <c r="A368" s="1">
        <v>600</v>
      </c>
      <c r="B368" s="2">
        <v>691</v>
      </c>
      <c r="C368" s="10" t="s">
        <v>218</v>
      </c>
      <c r="D368" s="15">
        <v>1185</v>
      </c>
      <c r="E368" s="15">
        <v>1185</v>
      </c>
    </row>
    <row r="369" spans="1:6">
      <c r="A369" s="1">
        <v>600</v>
      </c>
      <c r="B369" s="3">
        <v>691</v>
      </c>
      <c r="C369" s="5" t="s">
        <v>219</v>
      </c>
      <c r="D369" s="15">
        <v>0</v>
      </c>
      <c r="E369" s="15">
        <v>0</v>
      </c>
    </row>
    <row r="370" spans="1:6">
      <c r="A370" s="1"/>
      <c r="B370" s="3"/>
      <c r="C370" s="4" t="s">
        <v>220</v>
      </c>
      <c r="D370" s="16">
        <f>D367+D368+D369</f>
        <v>2535</v>
      </c>
      <c r="E370" s="16">
        <f>SUM(E367:E369)</f>
        <v>2535</v>
      </c>
      <c r="F370" s="18">
        <f>E370-D370</f>
        <v>0</v>
      </c>
    </row>
    <row r="371" spans="1:6">
      <c r="A371" s="1"/>
      <c r="B371" s="10"/>
      <c r="C371" s="10"/>
    </row>
    <row r="372" spans="1:6">
      <c r="A372" s="1">
        <v>600</v>
      </c>
      <c r="B372" s="3">
        <v>692</v>
      </c>
      <c r="C372" s="5" t="s">
        <v>221</v>
      </c>
      <c r="D372" s="15">
        <v>250</v>
      </c>
      <c r="E372" s="15">
        <v>250</v>
      </c>
    </row>
    <row r="373" spans="1:6">
      <c r="A373" s="1"/>
      <c r="B373" s="3"/>
      <c r="C373" s="4" t="s">
        <v>222</v>
      </c>
      <c r="D373" s="16">
        <f>D372</f>
        <v>250</v>
      </c>
      <c r="E373" s="16">
        <f>SUM(E372)</f>
        <v>250</v>
      </c>
      <c r="F373" s="18">
        <v>0</v>
      </c>
    </row>
    <row r="374" spans="1:6">
      <c r="A374" s="1"/>
      <c r="B374" s="10"/>
      <c r="C374" s="10"/>
    </row>
    <row r="375" spans="1:6">
      <c r="A375" s="1">
        <v>600</v>
      </c>
      <c r="B375" s="3">
        <v>693</v>
      </c>
      <c r="C375" s="5" t="s">
        <v>149</v>
      </c>
      <c r="D375" s="15">
        <v>1900</v>
      </c>
      <c r="E375" s="15">
        <v>1900</v>
      </c>
    </row>
    <row r="376" spans="1:6">
      <c r="A376" s="1">
        <v>600</v>
      </c>
      <c r="B376" s="3">
        <v>693</v>
      </c>
      <c r="C376" s="5" t="s">
        <v>352</v>
      </c>
      <c r="D376" s="15">
        <v>250</v>
      </c>
      <c r="E376" s="15">
        <v>250</v>
      </c>
    </row>
    <row r="377" spans="1:6">
      <c r="A377" s="1">
        <v>600</v>
      </c>
      <c r="B377" s="3">
        <v>693</v>
      </c>
      <c r="C377" s="5" t="s">
        <v>223</v>
      </c>
      <c r="D377" s="15">
        <v>1875</v>
      </c>
      <c r="E377" s="15">
        <v>1875</v>
      </c>
    </row>
    <row r="378" spans="1:6">
      <c r="A378" s="1">
        <v>600</v>
      </c>
      <c r="B378" s="2">
        <v>693</v>
      </c>
      <c r="C378" s="10" t="s">
        <v>353</v>
      </c>
      <c r="D378" s="15">
        <v>900</v>
      </c>
      <c r="E378" s="15">
        <v>900</v>
      </c>
    </row>
    <row r="379" spans="1:6">
      <c r="A379" s="1"/>
      <c r="B379" s="3"/>
      <c r="C379" s="4" t="s">
        <v>224</v>
      </c>
      <c r="D379" s="16">
        <f>D375+D376+D377+D378</f>
        <v>4925</v>
      </c>
      <c r="E379" s="16">
        <f>SUM(E375:E378)</f>
        <v>4925</v>
      </c>
      <c r="F379" s="18">
        <v>0</v>
      </c>
    </row>
    <row r="380" spans="1:6">
      <c r="A380" s="1"/>
      <c r="B380" s="5"/>
      <c r="C380" s="5"/>
    </row>
    <row r="381" spans="1:6">
      <c r="A381" s="1">
        <v>600</v>
      </c>
      <c r="B381" s="3">
        <v>699</v>
      </c>
      <c r="C381" s="5" t="s">
        <v>225</v>
      </c>
      <c r="D381" s="15">
        <v>3840</v>
      </c>
      <c r="E381" s="15">
        <v>3840</v>
      </c>
    </row>
    <row r="382" spans="1:6">
      <c r="A382" s="1"/>
      <c r="B382" s="2"/>
      <c r="C382" s="4" t="s">
        <v>226</v>
      </c>
      <c r="D382" s="16">
        <f>D381</f>
        <v>3840</v>
      </c>
      <c r="E382" s="16">
        <f>SUM(E381)</f>
        <v>3840</v>
      </c>
      <c r="F382" s="18">
        <v>0</v>
      </c>
    </row>
    <row r="383" spans="1:6">
      <c r="A383" s="1"/>
      <c r="B383" s="5"/>
      <c r="C383" s="5"/>
      <c r="F383" s="19">
        <f>F384/D384</f>
        <v>1.427050984386587E-2</v>
      </c>
    </row>
    <row r="384" spans="1:6">
      <c r="A384" s="6"/>
      <c r="B384" s="7"/>
      <c r="C384" s="8" t="s">
        <v>227</v>
      </c>
      <c r="D384" s="17">
        <f>D352+D365+D370+D373+D379+D382</f>
        <v>343482.33199999999</v>
      </c>
      <c r="E384" s="17">
        <f>E352++E365+E370+E373+E379+E382</f>
        <v>348384</v>
      </c>
      <c r="F384" s="18">
        <f>E384-D384</f>
        <v>4901.6680000000051</v>
      </c>
    </row>
    <row r="385" spans="1:6">
      <c r="A385" s="9"/>
      <c r="B385" s="5"/>
      <c r="C385" s="5"/>
    </row>
    <row r="386" spans="1:6">
      <c r="A386" s="1">
        <v>700</v>
      </c>
      <c r="B386" s="3">
        <v>710</v>
      </c>
      <c r="C386" s="5" t="s">
        <v>335</v>
      </c>
      <c r="D386" s="15">
        <v>739989</v>
      </c>
      <c r="E386" s="15">
        <v>715211</v>
      </c>
    </row>
    <row r="387" spans="1:6">
      <c r="A387" s="1">
        <v>700</v>
      </c>
      <c r="B387" s="3">
        <v>710</v>
      </c>
      <c r="C387" s="5" t="s">
        <v>337</v>
      </c>
      <c r="D387" s="15">
        <v>59000</v>
      </c>
      <c r="E387" s="15">
        <v>59000</v>
      </c>
    </row>
    <row r="388" spans="1:6">
      <c r="A388" s="1">
        <v>700</v>
      </c>
      <c r="B388" s="3">
        <v>710</v>
      </c>
      <c r="C388" s="5" t="s">
        <v>229</v>
      </c>
      <c r="D388" s="15">
        <v>19660</v>
      </c>
      <c r="E388" s="15">
        <v>20057</v>
      </c>
    </row>
    <row r="389" spans="1:6">
      <c r="A389" s="1">
        <v>700</v>
      </c>
      <c r="B389" s="3">
        <v>710</v>
      </c>
      <c r="C389" s="5" t="s">
        <v>338</v>
      </c>
      <c r="D389" s="15">
        <v>125000</v>
      </c>
      <c r="E389" s="15">
        <v>125000</v>
      </c>
    </row>
    <row r="390" spans="1:6">
      <c r="A390" s="1">
        <v>700</v>
      </c>
      <c r="B390" s="3">
        <v>710</v>
      </c>
      <c r="C390" s="5" t="s">
        <v>339</v>
      </c>
      <c r="D390" s="15">
        <v>38462</v>
      </c>
      <c r="E390" s="15">
        <v>38462</v>
      </c>
    </row>
    <row r="391" spans="1:6">
      <c r="A391" s="1">
        <v>700</v>
      </c>
      <c r="B391" s="3">
        <v>710</v>
      </c>
      <c r="C391" s="5" t="s">
        <v>340</v>
      </c>
      <c r="D391" s="15">
        <v>10000</v>
      </c>
      <c r="E391" s="15">
        <v>10000</v>
      </c>
    </row>
    <row r="392" spans="1:6">
      <c r="A392" s="1">
        <v>700</v>
      </c>
      <c r="B392" s="3">
        <v>710</v>
      </c>
      <c r="C392" s="5" t="s">
        <v>341</v>
      </c>
      <c r="E392" s="15">
        <v>0</v>
      </c>
    </row>
    <row r="393" spans="1:6">
      <c r="A393" s="1">
        <v>700</v>
      </c>
      <c r="B393" s="3">
        <v>710</v>
      </c>
      <c r="C393" s="5" t="s">
        <v>342</v>
      </c>
      <c r="E393" s="15">
        <v>0</v>
      </c>
    </row>
    <row r="394" spans="1:6">
      <c r="A394" s="1">
        <v>700</v>
      </c>
      <c r="B394" s="3">
        <v>710</v>
      </c>
      <c r="C394" s="5" t="s">
        <v>343</v>
      </c>
      <c r="E394" s="15">
        <v>0</v>
      </c>
    </row>
    <row r="395" spans="1:6">
      <c r="A395" s="1">
        <v>700</v>
      </c>
      <c r="B395" s="3">
        <v>710</v>
      </c>
      <c r="C395" s="5" t="s">
        <v>344</v>
      </c>
      <c r="E395" s="15">
        <v>0</v>
      </c>
    </row>
    <row r="396" spans="1:6">
      <c r="A396" s="1">
        <v>700</v>
      </c>
      <c r="B396" s="3">
        <v>710</v>
      </c>
      <c r="C396" s="5" t="s">
        <v>345</v>
      </c>
      <c r="D396" s="15">
        <v>258055.14</v>
      </c>
      <c r="E396" s="15">
        <v>266399.14</v>
      </c>
    </row>
    <row r="397" spans="1:6">
      <c r="A397" s="1">
        <v>700</v>
      </c>
      <c r="B397" s="3">
        <v>710</v>
      </c>
      <c r="C397" s="5" t="s">
        <v>346</v>
      </c>
      <c r="D397" s="15">
        <v>151011</v>
      </c>
      <c r="E397" s="15">
        <v>145789</v>
      </c>
    </row>
    <row r="398" spans="1:6">
      <c r="A398" s="1">
        <v>700</v>
      </c>
      <c r="B398" s="3">
        <v>710</v>
      </c>
      <c r="C398" s="5" t="s">
        <v>228</v>
      </c>
      <c r="D398" s="15">
        <v>55000</v>
      </c>
      <c r="E398" s="15">
        <v>0</v>
      </c>
      <c r="F398" s="19">
        <f>F399/D399</f>
        <v>-5.2369315452926279E-2</v>
      </c>
    </row>
    <row r="399" spans="1:6">
      <c r="A399" s="1"/>
      <c r="B399" s="3"/>
      <c r="C399" s="4" t="s">
        <v>334</v>
      </c>
      <c r="D399" s="16">
        <f>D386+D387+D388+D389+D390+D391+D396+D397+D398</f>
        <v>1456177.1400000001</v>
      </c>
      <c r="E399" s="16">
        <f>SUM(E386:E398)</f>
        <v>1379918.1400000001</v>
      </c>
      <c r="F399" s="18">
        <f>E399-D399</f>
        <v>-76259</v>
      </c>
    </row>
    <row r="400" spans="1:6">
      <c r="A400" s="1"/>
      <c r="B400" s="5"/>
      <c r="C400" s="5"/>
    </row>
    <row r="401" spans="1:6">
      <c r="A401" s="1">
        <v>700</v>
      </c>
      <c r="B401" s="3">
        <v>751</v>
      </c>
      <c r="C401" s="5" t="s">
        <v>336</v>
      </c>
      <c r="D401" s="15">
        <v>32556.17</v>
      </c>
      <c r="E401" s="15">
        <v>10728.16</v>
      </c>
    </row>
    <row r="402" spans="1:6">
      <c r="A402" s="1">
        <v>700</v>
      </c>
      <c r="B402" s="3">
        <v>751</v>
      </c>
      <c r="C402" s="5" t="s">
        <v>337</v>
      </c>
      <c r="D402" s="15">
        <v>2655</v>
      </c>
      <c r="E402" s="15">
        <v>885</v>
      </c>
    </row>
    <row r="403" spans="1:6">
      <c r="A403" s="1">
        <v>700</v>
      </c>
      <c r="B403" s="3">
        <v>751</v>
      </c>
      <c r="C403" s="5" t="s">
        <v>229</v>
      </c>
      <c r="D403" s="15">
        <v>3419.17</v>
      </c>
      <c r="E403" s="15">
        <v>2992.21</v>
      </c>
    </row>
    <row r="404" spans="1:6">
      <c r="A404" s="1">
        <v>700</v>
      </c>
      <c r="B404" s="3">
        <v>751</v>
      </c>
      <c r="C404" s="5" t="s">
        <v>338</v>
      </c>
      <c r="D404" s="15">
        <v>20125</v>
      </c>
      <c r="E404" s="15">
        <v>15125</v>
      </c>
    </row>
    <row r="405" spans="1:6">
      <c r="A405" s="1">
        <v>700</v>
      </c>
      <c r="B405" s="3">
        <v>751</v>
      </c>
      <c r="C405" s="5" t="s">
        <v>339</v>
      </c>
      <c r="D405" s="15">
        <v>10000</v>
      </c>
      <c r="E405" s="15">
        <v>11540</v>
      </c>
    </row>
    <row r="406" spans="1:6">
      <c r="A406" s="1">
        <v>700</v>
      </c>
      <c r="B406" s="3">
        <v>751</v>
      </c>
      <c r="C406" s="5" t="s">
        <v>340</v>
      </c>
      <c r="D406" s="15">
        <v>3417.5</v>
      </c>
      <c r="E406" s="15">
        <v>3217.5</v>
      </c>
    </row>
    <row r="407" spans="1:6">
      <c r="A407" s="1">
        <v>700</v>
      </c>
      <c r="B407" s="3">
        <v>751</v>
      </c>
      <c r="C407" s="5" t="s">
        <v>341</v>
      </c>
      <c r="E407" s="15">
        <v>3750</v>
      </c>
    </row>
    <row r="408" spans="1:6">
      <c r="A408" s="1">
        <v>700</v>
      </c>
      <c r="B408" s="3">
        <v>751</v>
      </c>
      <c r="C408" s="5" t="s">
        <v>342</v>
      </c>
      <c r="E408" s="15">
        <v>5625</v>
      </c>
    </row>
    <row r="409" spans="1:6">
      <c r="A409" s="1">
        <v>700</v>
      </c>
      <c r="B409" s="3">
        <v>751</v>
      </c>
      <c r="C409" s="5" t="s">
        <v>343</v>
      </c>
      <c r="E409" s="15">
        <v>25625</v>
      </c>
    </row>
    <row r="410" spans="1:6">
      <c r="A410" s="1">
        <v>700</v>
      </c>
      <c r="B410" s="3">
        <v>751</v>
      </c>
      <c r="C410" s="5" t="s">
        <v>344</v>
      </c>
      <c r="E410" s="15">
        <v>27500</v>
      </c>
    </row>
    <row r="411" spans="1:6">
      <c r="A411" s="1">
        <v>700</v>
      </c>
      <c r="B411" s="3">
        <v>751</v>
      </c>
      <c r="C411" s="5" t="s">
        <v>345</v>
      </c>
      <c r="D411" s="15">
        <v>96919.15</v>
      </c>
      <c r="E411" s="15">
        <v>91592.74</v>
      </c>
    </row>
    <row r="412" spans="1:6">
      <c r="A412" s="1">
        <v>700</v>
      </c>
      <c r="B412" s="3">
        <v>751</v>
      </c>
      <c r="C412" s="5" t="s">
        <v>346</v>
      </c>
      <c r="D412" s="15">
        <v>145789</v>
      </c>
      <c r="E412" s="15">
        <v>33976.83</v>
      </c>
    </row>
    <row r="413" spans="1:6">
      <c r="A413" s="1">
        <v>700</v>
      </c>
      <c r="B413" s="3">
        <v>751</v>
      </c>
      <c r="C413" s="5" t="s">
        <v>228</v>
      </c>
      <c r="D413" s="15">
        <v>1513</v>
      </c>
      <c r="E413" s="15">
        <v>0</v>
      </c>
      <c r="F413" s="19">
        <f>F414/D414</f>
        <v>-0.26497516593156523</v>
      </c>
    </row>
    <row r="414" spans="1:6">
      <c r="A414" s="1"/>
      <c r="B414" s="3"/>
      <c r="C414" s="4" t="s">
        <v>230</v>
      </c>
      <c r="D414" s="16">
        <f>D401+D402+D403+D404+D405+D406+D411+D412+D413</f>
        <v>316393.99</v>
      </c>
      <c r="E414" s="16">
        <f>SUM(E401:E413)</f>
        <v>232557.44</v>
      </c>
      <c r="F414" s="18">
        <f>E414-D414</f>
        <v>-83836.549999999988</v>
      </c>
    </row>
    <row r="415" spans="1:6">
      <c r="A415" s="1"/>
      <c r="B415" s="5"/>
      <c r="C415" s="5"/>
    </row>
    <row r="416" spans="1:6">
      <c r="A416" s="1">
        <v>700</v>
      </c>
      <c r="B416" s="3">
        <v>752</v>
      </c>
      <c r="C416" s="5" t="s">
        <v>231</v>
      </c>
      <c r="D416" s="15">
        <v>0</v>
      </c>
      <c r="E416" s="15">
        <v>0</v>
      </c>
    </row>
    <row r="417" spans="1:8">
      <c r="A417" s="1">
        <v>700</v>
      </c>
      <c r="B417" s="3">
        <v>752</v>
      </c>
      <c r="C417" s="5" t="s">
        <v>232</v>
      </c>
      <c r="D417" s="15">
        <v>0</v>
      </c>
      <c r="E417" s="15">
        <v>0</v>
      </c>
    </row>
    <row r="418" spans="1:8">
      <c r="A418" s="1">
        <v>700</v>
      </c>
      <c r="B418" s="3">
        <v>752</v>
      </c>
      <c r="C418" s="5" t="s">
        <v>233</v>
      </c>
      <c r="D418" s="15">
        <v>0</v>
      </c>
      <c r="E418" s="15">
        <v>0</v>
      </c>
    </row>
    <row r="419" spans="1:8">
      <c r="A419" s="1"/>
      <c r="B419" s="3"/>
      <c r="C419" s="4" t="s">
        <v>234</v>
      </c>
      <c r="D419" s="16">
        <v>0</v>
      </c>
      <c r="E419" s="16">
        <f>SUM(E416:E418)</f>
        <v>0</v>
      </c>
      <c r="F419" s="18">
        <v>0</v>
      </c>
    </row>
    <row r="420" spans="1:8">
      <c r="A420" s="1"/>
      <c r="B420" s="5"/>
      <c r="C420" s="5"/>
      <c r="F420" s="19">
        <f>F421/D421</f>
        <v>-9.0318265535555706E-2</v>
      </c>
    </row>
    <row r="421" spans="1:8">
      <c r="A421" s="1"/>
      <c r="B421" s="7"/>
      <c r="C421" s="8" t="s">
        <v>235</v>
      </c>
      <c r="D421" s="17">
        <f>D399+D414+D419</f>
        <v>1772571.1300000001</v>
      </c>
      <c r="E421" s="17">
        <f>E399+E414+E419</f>
        <v>1612475.58</v>
      </c>
      <c r="F421" s="18">
        <f>E421-D421</f>
        <v>-160095.55000000005</v>
      </c>
      <c r="H421" s="15"/>
    </row>
    <row r="422" spans="1:8">
      <c r="A422" s="9"/>
      <c r="B422" s="5"/>
      <c r="C422" s="5"/>
    </row>
    <row r="423" spans="1:8">
      <c r="A423" s="1">
        <v>800</v>
      </c>
      <c r="B423" s="3">
        <v>830</v>
      </c>
      <c r="C423" s="5" t="s">
        <v>236</v>
      </c>
      <c r="D423" s="15">
        <v>911521</v>
      </c>
      <c r="E423" s="15">
        <v>957097</v>
      </c>
    </row>
    <row r="424" spans="1:8">
      <c r="A424" s="1">
        <v>800</v>
      </c>
      <c r="B424" s="3">
        <v>830</v>
      </c>
      <c r="C424" s="5" t="s">
        <v>237</v>
      </c>
      <c r="D424" s="15">
        <v>0</v>
      </c>
      <c r="E424" s="15">
        <v>0</v>
      </c>
      <c r="F424" s="19">
        <f>F425/D425</f>
        <v>4.9999945146628547E-2</v>
      </c>
    </row>
    <row r="425" spans="1:8">
      <c r="A425" s="1"/>
      <c r="B425" s="3"/>
      <c r="C425" s="4" t="s">
        <v>238</v>
      </c>
      <c r="D425" s="16">
        <v>911521</v>
      </c>
      <c r="E425" s="16">
        <f>SUM(E423:E424)</f>
        <v>957097</v>
      </c>
      <c r="F425" s="18">
        <f>E425-D425</f>
        <v>45576</v>
      </c>
    </row>
    <row r="426" spans="1:8">
      <c r="A426" s="1"/>
      <c r="B426" s="5"/>
      <c r="C426" s="5"/>
    </row>
    <row r="427" spans="1:8">
      <c r="A427" s="1">
        <v>800</v>
      </c>
      <c r="B427" s="3">
        <v>845</v>
      </c>
      <c r="C427" s="5" t="s">
        <v>239</v>
      </c>
      <c r="D427" s="15">
        <v>452065</v>
      </c>
      <c r="E427" s="15">
        <v>549955</v>
      </c>
      <c r="F427" s="19">
        <f>F428/D428</f>
        <v>0.21653965690774557</v>
      </c>
    </row>
    <row r="428" spans="1:8">
      <c r="A428" s="1"/>
      <c r="B428" s="3"/>
      <c r="C428" s="4" t="s">
        <v>240</v>
      </c>
      <c r="D428" s="16">
        <f>D427</f>
        <v>452065</v>
      </c>
      <c r="E428" s="16">
        <f>SUM(E427)</f>
        <v>549955</v>
      </c>
      <c r="F428" s="18">
        <f>E428-D428</f>
        <v>97890</v>
      </c>
    </row>
    <row r="429" spans="1:8">
      <c r="A429" s="1"/>
      <c r="B429" s="5"/>
      <c r="C429" s="5"/>
    </row>
    <row r="430" spans="1:8">
      <c r="A430" s="1">
        <v>800</v>
      </c>
      <c r="B430" s="2">
        <v>847</v>
      </c>
      <c r="C430" s="10" t="s">
        <v>241</v>
      </c>
      <c r="D430" s="15">
        <v>1651</v>
      </c>
      <c r="E430" s="15">
        <v>1692.73</v>
      </c>
      <c r="F430" s="19">
        <f>F431/D431</f>
        <v>2.5275590551181112E-2</v>
      </c>
    </row>
    <row r="431" spans="1:8">
      <c r="A431" s="1"/>
      <c r="B431" s="3"/>
      <c r="C431" s="4" t="s">
        <v>242</v>
      </c>
      <c r="D431" s="16">
        <f>D430</f>
        <v>1651</v>
      </c>
      <c r="E431" s="16">
        <f>SUM(E430)</f>
        <v>1692.73</v>
      </c>
      <c r="F431" s="18">
        <f>E431-D431</f>
        <v>41.730000000000018</v>
      </c>
    </row>
    <row r="432" spans="1:8">
      <c r="A432" s="6"/>
      <c r="B432" s="5"/>
      <c r="C432" s="10"/>
    </row>
    <row r="433" spans="1:6">
      <c r="A433" s="1">
        <v>800</v>
      </c>
      <c r="B433" s="3">
        <v>850</v>
      </c>
      <c r="C433" s="5" t="s">
        <v>243</v>
      </c>
      <c r="D433" s="15">
        <v>0</v>
      </c>
      <c r="E433" s="15">
        <v>0</v>
      </c>
    </row>
    <row r="434" spans="1:6">
      <c r="A434" s="1"/>
      <c r="B434" s="3"/>
      <c r="C434" s="4" t="s">
        <v>244</v>
      </c>
      <c r="D434" s="16">
        <f>D433</f>
        <v>0</v>
      </c>
      <c r="E434" s="16">
        <f>SUM(E433)</f>
        <v>0</v>
      </c>
      <c r="F434" s="18">
        <v>0</v>
      </c>
    </row>
    <row r="435" spans="1:6">
      <c r="A435" s="1"/>
      <c r="B435" s="5"/>
      <c r="C435" s="5"/>
    </row>
    <row r="436" spans="1:6">
      <c r="A436" s="1">
        <v>800</v>
      </c>
      <c r="B436" s="2">
        <v>852</v>
      </c>
      <c r="C436" s="10" t="s">
        <v>50</v>
      </c>
      <c r="D436" s="15">
        <v>0</v>
      </c>
      <c r="E436" s="15">
        <v>0</v>
      </c>
    </row>
    <row r="437" spans="1:6">
      <c r="A437" s="1"/>
      <c r="B437" s="3"/>
      <c r="C437" s="4" t="s">
        <v>245</v>
      </c>
      <c r="D437" s="16">
        <f>D436</f>
        <v>0</v>
      </c>
      <c r="E437" s="16">
        <f>SUM(E436)</f>
        <v>0</v>
      </c>
      <c r="F437" s="18">
        <v>0</v>
      </c>
    </row>
    <row r="438" spans="1:6">
      <c r="A438" s="6"/>
      <c r="B438" s="5"/>
      <c r="C438" s="10"/>
      <c r="F438" s="19">
        <f>F439/D439</f>
        <v>0.10511561728842683</v>
      </c>
    </row>
    <row r="439" spans="1:6">
      <c r="A439" s="1"/>
      <c r="B439" s="7"/>
      <c r="C439" s="8" t="s">
        <v>246</v>
      </c>
      <c r="D439" s="17">
        <f>D425+D428+D431+D434+D437</f>
        <v>1365237</v>
      </c>
      <c r="E439" s="17">
        <f>E425+E428+E431+E434+E437</f>
        <v>1508744.73</v>
      </c>
      <c r="F439" s="18">
        <f>E439-D439</f>
        <v>143507.72999999998</v>
      </c>
    </row>
    <row r="440" spans="1:6">
      <c r="A440" s="9"/>
      <c r="B440" s="5"/>
      <c r="C440" s="5"/>
    </row>
    <row r="441" spans="1:6">
      <c r="A441" s="1">
        <v>900</v>
      </c>
      <c r="B441" s="3">
        <v>911</v>
      </c>
      <c r="C441" s="5" t="s">
        <v>247</v>
      </c>
      <c r="D441" s="15">
        <v>0</v>
      </c>
      <c r="E441" s="15">
        <v>0</v>
      </c>
    </row>
    <row r="442" spans="1:6">
      <c r="A442" s="1"/>
      <c r="B442" s="3"/>
      <c r="C442" s="4" t="s">
        <v>248</v>
      </c>
      <c r="D442" s="16">
        <f>D441</f>
        <v>0</v>
      </c>
      <c r="E442" s="16">
        <f>SUM(E441)</f>
        <v>0</v>
      </c>
      <c r="F442" s="18">
        <v>0</v>
      </c>
    </row>
    <row r="443" spans="1:6">
      <c r="A443" s="1"/>
      <c r="B443" s="5"/>
      <c r="C443" s="5"/>
    </row>
    <row r="444" spans="1:6">
      <c r="A444" s="1">
        <v>900</v>
      </c>
      <c r="B444" s="3">
        <v>912</v>
      </c>
      <c r="C444" s="5" t="s">
        <v>249</v>
      </c>
      <c r="D444" s="15">
        <v>85000</v>
      </c>
      <c r="E444" s="15">
        <v>85000</v>
      </c>
    </row>
    <row r="445" spans="1:6">
      <c r="A445" s="1">
        <v>900</v>
      </c>
      <c r="B445" s="3">
        <v>912</v>
      </c>
      <c r="C445" s="5" t="s">
        <v>250</v>
      </c>
      <c r="D445" s="15">
        <v>22000</v>
      </c>
      <c r="E445" s="15">
        <v>22000</v>
      </c>
    </row>
    <row r="446" spans="1:6">
      <c r="A446" s="1"/>
      <c r="B446" s="3"/>
      <c r="C446" s="4" t="s">
        <v>251</v>
      </c>
      <c r="D446" s="16">
        <f>D444+D445</f>
        <v>107000</v>
      </c>
      <c r="E446" s="16">
        <f>SUM(E444:E445)</f>
        <v>107000</v>
      </c>
      <c r="F446" s="18">
        <v>0</v>
      </c>
    </row>
    <row r="447" spans="1:6">
      <c r="A447" s="1"/>
      <c r="B447" s="5"/>
      <c r="C447" s="5"/>
    </row>
    <row r="448" spans="1:6">
      <c r="A448" s="1">
        <v>900</v>
      </c>
      <c r="B448" s="3">
        <v>913</v>
      </c>
      <c r="C448" s="5" t="s">
        <v>252</v>
      </c>
      <c r="D448" s="15">
        <v>30000</v>
      </c>
      <c r="E448" s="15">
        <v>30000</v>
      </c>
    </row>
    <row r="449" spans="1:6">
      <c r="A449" s="1"/>
      <c r="B449" s="3"/>
      <c r="C449" s="4" t="s">
        <v>253</v>
      </c>
      <c r="D449" s="16">
        <f>D448</f>
        <v>30000</v>
      </c>
      <c r="E449" s="16">
        <f>SUM(E448)</f>
        <v>30000</v>
      </c>
      <c r="F449" s="18">
        <v>0</v>
      </c>
    </row>
    <row r="450" spans="1:6">
      <c r="A450" s="1"/>
      <c r="B450" s="5"/>
      <c r="C450" s="5"/>
    </row>
    <row r="451" spans="1:6">
      <c r="A451" s="1">
        <v>900</v>
      </c>
      <c r="B451" s="3">
        <v>914</v>
      </c>
      <c r="C451" s="5" t="s">
        <v>252</v>
      </c>
      <c r="D451" s="15">
        <v>193137</v>
      </c>
      <c r="E451" s="15">
        <v>222500</v>
      </c>
      <c r="F451" s="19">
        <f>F452/D452</f>
        <v>0.15203197730108681</v>
      </c>
    </row>
    <row r="452" spans="1:6">
      <c r="A452" s="1"/>
      <c r="B452" s="3"/>
      <c r="C452" s="4" t="s">
        <v>254</v>
      </c>
      <c r="D452" s="16">
        <f>D451</f>
        <v>193137</v>
      </c>
      <c r="E452" s="16">
        <f>SUM(E451)</f>
        <v>222500</v>
      </c>
      <c r="F452" s="18">
        <f>E452-D452</f>
        <v>29363</v>
      </c>
    </row>
    <row r="453" spans="1:6">
      <c r="A453" s="1"/>
      <c r="B453" s="5"/>
      <c r="C453" s="5"/>
    </row>
    <row r="454" spans="1:6">
      <c r="A454" s="1">
        <v>900</v>
      </c>
      <c r="B454" s="3">
        <v>915</v>
      </c>
      <c r="C454" s="5" t="s">
        <v>255</v>
      </c>
      <c r="D454" s="15">
        <v>2916000</v>
      </c>
      <c r="E454" s="15">
        <v>2916000</v>
      </c>
      <c r="F454" s="19">
        <f>F455/D455</f>
        <v>0</v>
      </c>
    </row>
    <row r="455" spans="1:6">
      <c r="A455" s="1"/>
      <c r="B455" s="3"/>
      <c r="C455" s="4" t="s">
        <v>256</v>
      </c>
      <c r="D455" s="16">
        <f>D454</f>
        <v>2916000</v>
      </c>
      <c r="E455" s="16">
        <f>SUM(E454)</f>
        <v>2916000</v>
      </c>
      <c r="F455" s="18">
        <f>E455-D455</f>
        <v>0</v>
      </c>
    </row>
    <row r="456" spans="1:6">
      <c r="A456" s="1"/>
      <c r="B456" s="5"/>
      <c r="C456" s="5"/>
    </row>
    <row r="457" spans="1:6">
      <c r="A457" s="1">
        <v>900</v>
      </c>
      <c r="B457" s="3">
        <v>940</v>
      </c>
      <c r="C457" s="5" t="s">
        <v>257</v>
      </c>
      <c r="D457" s="15">
        <v>136000</v>
      </c>
      <c r="E457" s="15">
        <v>136000</v>
      </c>
    </row>
    <row r="458" spans="1:6">
      <c r="A458" s="1">
        <v>900</v>
      </c>
      <c r="B458" s="3">
        <v>940</v>
      </c>
      <c r="C458" s="5" t="s">
        <v>258</v>
      </c>
      <c r="D458" s="15">
        <v>23559</v>
      </c>
      <c r="E458" s="15">
        <v>25447</v>
      </c>
    </row>
    <row r="459" spans="1:6">
      <c r="A459" s="1">
        <v>900</v>
      </c>
      <c r="B459" s="3">
        <v>940</v>
      </c>
      <c r="C459" s="5" t="s">
        <v>259</v>
      </c>
    </row>
    <row r="460" spans="1:6">
      <c r="A460" s="1"/>
      <c r="B460" s="3">
        <v>940</v>
      </c>
      <c r="C460" s="5" t="s">
        <v>355</v>
      </c>
      <c r="D460" s="15">
        <v>55512</v>
      </c>
      <c r="E460" s="15">
        <v>99300</v>
      </c>
    </row>
    <row r="461" spans="1:6">
      <c r="A461" s="1">
        <v>900</v>
      </c>
      <c r="B461" s="3">
        <v>940</v>
      </c>
      <c r="C461" s="5" t="s">
        <v>260</v>
      </c>
      <c r="D461" s="15">
        <v>307022</v>
      </c>
      <c r="E461" s="15">
        <v>328359</v>
      </c>
    </row>
    <row r="462" spans="1:6">
      <c r="A462" s="1">
        <v>900</v>
      </c>
      <c r="B462" s="3">
        <v>940</v>
      </c>
      <c r="C462" s="5" t="s">
        <v>261</v>
      </c>
    </row>
    <row r="463" spans="1:6">
      <c r="A463" s="1">
        <v>900</v>
      </c>
      <c r="B463" s="3">
        <v>940</v>
      </c>
      <c r="C463" s="5" t="s">
        <v>262</v>
      </c>
    </row>
    <row r="464" spans="1:6">
      <c r="A464" s="1">
        <v>900</v>
      </c>
      <c r="B464" s="2">
        <v>940</v>
      </c>
      <c r="C464" s="10" t="s">
        <v>263</v>
      </c>
    </row>
    <row r="465" spans="1:6">
      <c r="A465" s="1">
        <v>900</v>
      </c>
      <c r="B465" s="3">
        <v>940</v>
      </c>
      <c r="C465" s="5" t="s">
        <v>264</v>
      </c>
    </row>
    <row r="466" spans="1:6">
      <c r="A466" s="6">
        <v>900</v>
      </c>
      <c r="B466" s="3">
        <v>940</v>
      </c>
      <c r="C466" s="10" t="s">
        <v>265</v>
      </c>
    </row>
    <row r="467" spans="1:6">
      <c r="A467" s="1">
        <v>900</v>
      </c>
      <c r="B467" s="3">
        <v>940</v>
      </c>
      <c r="C467" s="5" t="s">
        <v>266</v>
      </c>
    </row>
    <row r="468" spans="1:6">
      <c r="A468" s="1"/>
      <c r="B468" s="3"/>
      <c r="C468" s="4" t="s">
        <v>267</v>
      </c>
      <c r="D468" s="16">
        <f>D457+D458+D461</f>
        <v>466581</v>
      </c>
      <c r="E468" s="16">
        <f>SUM(E457:E467)</f>
        <v>589106</v>
      </c>
      <c r="F468" s="18">
        <v>0</v>
      </c>
    </row>
    <row r="469" spans="1:6">
      <c r="A469" s="1"/>
      <c r="B469" s="5"/>
      <c r="C469" s="5"/>
    </row>
    <row r="470" spans="1:6">
      <c r="A470" s="1">
        <v>900</v>
      </c>
      <c r="B470" s="2">
        <v>945</v>
      </c>
      <c r="C470" s="10" t="s">
        <v>268</v>
      </c>
      <c r="D470" s="15">
        <v>166000</v>
      </c>
      <c r="E470" s="15">
        <v>166000</v>
      </c>
    </row>
    <row r="471" spans="1:6">
      <c r="A471" s="1">
        <v>900</v>
      </c>
      <c r="B471" s="3">
        <v>945</v>
      </c>
      <c r="C471" s="5" t="s">
        <v>269</v>
      </c>
      <c r="D471" s="15">
        <v>0</v>
      </c>
      <c r="E471" s="15">
        <v>0</v>
      </c>
    </row>
    <row r="472" spans="1:6">
      <c r="A472" s="1"/>
      <c r="B472" s="3"/>
      <c r="C472" s="4" t="s">
        <v>270</v>
      </c>
      <c r="D472" s="16">
        <f>D470+D471</f>
        <v>166000</v>
      </c>
      <c r="E472" s="16">
        <f>SUM(E470:E471)</f>
        <v>166000</v>
      </c>
      <c r="F472" s="18">
        <v>0</v>
      </c>
    </row>
    <row r="473" spans="1:6">
      <c r="A473" s="1"/>
      <c r="B473" s="5"/>
      <c r="C473" s="5"/>
      <c r="F473" s="19">
        <f>F474/D474</f>
        <v>3.9159330479813174E-2</v>
      </c>
    </row>
    <row r="474" spans="1:6">
      <c r="A474" s="1"/>
      <c r="B474" s="11"/>
      <c r="C474" s="8" t="s">
        <v>271</v>
      </c>
      <c r="D474" s="17">
        <f>D472+D468+D455+D452+D449+D446+D442</f>
        <v>3878718</v>
      </c>
      <c r="E474" s="17">
        <f>E442+E446+E449+E452+E455+E468+E472</f>
        <v>4030606</v>
      </c>
      <c r="F474" s="18">
        <f>E474-D474</f>
        <v>151888</v>
      </c>
    </row>
    <row r="475" spans="1:6">
      <c r="A475" s="9"/>
      <c r="B475" s="5"/>
      <c r="C475" s="5"/>
    </row>
    <row r="476" spans="1:6">
      <c r="A476" s="6">
        <v>1000</v>
      </c>
      <c r="B476" s="3">
        <v>1100</v>
      </c>
      <c r="C476" s="10" t="s">
        <v>272</v>
      </c>
      <c r="D476" s="15">
        <v>880000</v>
      </c>
      <c r="E476" s="15">
        <v>880000</v>
      </c>
    </row>
    <row r="477" spans="1:6">
      <c r="A477" s="1">
        <v>1000</v>
      </c>
      <c r="B477" s="3">
        <v>1100</v>
      </c>
      <c r="C477" s="5" t="s">
        <v>273</v>
      </c>
      <c r="D477" s="15">
        <v>0</v>
      </c>
      <c r="E477" s="15">
        <v>0</v>
      </c>
    </row>
    <row r="478" spans="1:6">
      <c r="A478" s="1">
        <v>1000</v>
      </c>
      <c r="B478" s="3">
        <v>1100</v>
      </c>
      <c r="C478" s="5" t="s">
        <v>274</v>
      </c>
      <c r="D478" s="15">
        <v>210000</v>
      </c>
      <c r="E478" s="15">
        <v>210000</v>
      </c>
    </row>
    <row r="479" spans="1:6">
      <c r="A479" s="1">
        <v>1000</v>
      </c>
      <c r="B479" s="3">
        <v>1100</v>
      </c>
      <c r="C479" s="5" t="s">
        <v>275</v>
      </c>
      <c r="D479" s="15">
        <v>70000</v>
      </c>
      <c r="E479" s="15">
        <v>57729.279999999999</v>
      </c>
    </row>
    <row r="480" spans="1:6">
      <c r="A480" s="1">
        <v>1000</v>
      </c>
      <c r="B480" s="3">
        <v>1100</v>
      </c>
      <c r="C480" s="5" t="s">
        <v>276</v>
      </c>
      <c r="D480" s="15">
        <v>0</v>
      </c>
      <c r="E480" s="15">
        <v>0</v>
      </c>
    </row>
    <row r="481" spans="1:5">
      <c r="A481" s="1">
        <v>1000</v>
      </c>
      <c r="B481" s="3">
        <v>1100</v>
      </c>
      <c r="C481" s="5" t="s">
        <v>277</v>
      </c>
      <c r="D481" s="15">
        <v>0</v>
      </c>
      <c r="E481" s="15">
        <v>0</v>
      </c>
    </row>
    <row r="482" spans="1:5">
      <c r="A482" s="1">
        <v>1000</v>
      </c>
      <c r="B482" s="3">
        <v>1100</v>
      </c>
      <c r="C482" s="5" t="s">
        <v>278</v>
      </c>
      <c r="D482" s="15">
        <v>0</v>
      </c>
      <c r="E482" s="15">
        <v>0</v>
      </c>
    </row>
    <row r="483" spans="1:5">
      <c r="A483" s="1">
        <v>1000</v>
      </c>
      <c r="B483" s="3">
        <v>1100</v>
      </c>
      <c r="C483" s="5" t="s">
        <v>279</v>
      </c>
      <c r="D483" s="15">
        <v>0</v>
      </c>
      <c r="E483" s="15">
        <v>0</v>
      </c>
    </row>
    <row r="484" spans="1:5">
      <c r="A484" s="1">
        <v>1000</v>
      </c>
      <c r="B484" s="3">
        <v>1100</v>
      </c>
      <c r="C484" s="5" t="s">
        <v>280</v>
      </c>
      <c r="D484" s="15">
        <v>65000</v>
      </c>
      <c r="E484" s="15">
        <v>65000</v>
      </c>
    </row>
    <row r="485" spans="1:5">
      <c r="A485" s="1">
        <v>1000</v>
      </c>
      <c r="B485" s="3">
        <v>1100</v>
      </c>
      <c r="C485" s="5" t="s">
        <v>281</v>
      </c>
      <c r="D485" s="15">
        <v>0</v>
      </c>
      <c r="E485" s="15">
        <v>0</v>
      </c>
    </row>
    <row r="486" spans="1:5">
      <c r="A486" s="1">
        <v>1000</v>
      </c>
      <c r="B486" s="3">
        <v>1100</v>
      </c>
      <c r="C486" s="5" t="s">
        <v>282</v>
      </c>
      <c r="D486" s="15">
        <v>6000</v>
      </c>
      <c r="E486" s="15">
        <v>6000</v>
      </c>
    </row>
    <row r="487" spans="1:5">
      <c r="A487" s="1">
        <v>1000</v>
      </c>
      <c r="B487" s="3">
        <v>1100</v>
      </c>
      <c r="C487" s="5" t="s">
        <v>283</v>
      </c>
      <c r="D487" s="15">
        <v>800</v>
      </c>
      <c r="E487" s="15">
        <v>800</v>
      </c>
    </row>
    <row r="488" spans="1:5">
      <c r="A488" s="1">
        <v>1000</v>
      </c>
      <c r="B488" s="3">
        <v>1100</v>
      </c>
      <c r="C488" s="10" t="s">
        <v>284</v>
      </c>
      <c r="D488" s="15">
        <v>0</v>
      </c>
      <c r="E488" s="15">
        <v>0</v>
      </c>
    </row>
    <row r="489" spans="1:5">
      <c r="A489" s="1">
        <v>1000</v>
      </c>
      <c r="B489" s="3">
        <v>1100</v>
      </c>
      <c r="C489" s="5" t="s">
        <v>285</v>
      </c>
      <c r="D489" s="15">
        <v>0</v>
      </c>
      <c r="E489" s="15">
        <v>0</v>
      </c>
    </row>
    <row r="490" spans="1:5">
      <c r="A490" s="1">
        <v>1000</v>
      </c>
      <c r="B490" s="3">
        <v>1100</v>
      </c>
      <c r="C490" s="10" t="s">
        <v>286</v>
      </c>
      <c r="D490" s="15">
        <v>0</v>
      </c>
      <c r="E490" s="15">
        <v>0</v>
      </c>
    </row>
    <row r="491" spans="1:5">
      <c r="A491" s="1">
        <v>1000</v>
      </c>
      <c r="B491" s="3">
        <v>1100</v>
      </c>
      <c r="C491" s="5" t="s">
        <v>287</v>
      </c>
      <c r="D491" s="15">
        <v>30000</v>
      </c>
      <c r="E491" s="15">
        <v>30000</v>
      </c>
    </row>
    <row r="492" spans="1:5">
      <c r="A492" s="1">
        <v>1000</v>
      </c>
      <c r="B492" s="3">
        <v>1100</v>
      </c>
      <c r="C492" s="5" t="s">
        <v>288</v>
      </c>
      <c r="D492" s="15">
        <v>160000</v>
      </c>
      <c r="E492" s="15">
        <v>160000</v>
      </c>
    </row>
    <row r="493" spans="1:5">
      <c r="A493" s="1">
        <v>1000</v>
      </c>
      <c r="B493" s="3">
        <v>1100</v>
      </c>
      <c r="C493" s="5" t="s">
        <v>289</v>
      </c>
      <c r="D493" s="15">
        <v>0</v>
      </c>
      <c r="E493" s="15">
        <v>0</v>
      </c>
    </row>
    <row r="494" spans="1:5">
      <c r="A494" s="1">
        <v>1000</v>
      </c>
      <c r="B494" s="3">
        <v>1100</v>
      </c>
      <c r="C494" s="5" t="s">
        <v>290</v>
      </c>
      <c r="D494" s="15">
        <v>19000</v>
      </c>
      <c r="E494" s="15">
        <v>19000</v>
      </c>
    </row>
    <row r="495" spans="1:5">
      <c r="A495" s="1">
        <v>1000</v>
      </c>
      <c r="B495" s="3">
        <v>1100</v>
      </c>
      <c r="C495" s="5" t="s">
        <v>291</v>
      </c>
      <c r="D495" s="15">
        <v>16500</v>
      </c>
      <c r="E495" s="15">
        <v>16500</v>
      </c>
    </row>
    <row r="496" spans="1:5">
      <c r="A496" s="1">
        <v>1000</v>
      </c>
      <c r="B496" s="3">
        <v>1100</v>
      </c>
      <c r="C496" s="5" t="s">
        <v>292</v>
      </c>
      <c r="D496" s="15">
        <v>0</v>
      </c>
      <c r="E496" s="15">
        <v>0</v>
      </c>
    </row>
    <row r="497" spans="1:6">
      <c r="A497" s="1">
        <v>1000</v>
      </c>
      <c r="B497" s="3">
        <v>1100</v>
      </c>
      <c r="C497" s="5" t="s">
        <v>293</v>
      </c>
      <c r="D497" s="15">
        <v>0</v>
      </c>
      <c r="E497" s="15">
        <v>0</v>
      </c>
    </row>
    <row r="498" spans="1:6">
      <c r="A498" s="1">
        <v>1000</v>
      </c>
      <c r="B498" s="3">
        <v>1100</v>
      </c>
      <c r="C498" s="5" t="s">
        <v>294</v>
      </c>
      <c r="D498" s="15">
        <v>0</v>
      </c>
      <c r="E498" s="15">
        <v>0</v>
      </c>
    </row>
    <row r="499" spans="1:6">
      <c r="A499" s="1">
        <v>1000</v>
      </c>
      <c r="B499" s="3">
        <v>1100</v>
      </c>
      <c r="C499" s="5" t="s">
        <v>295</v>
      </c>
      <c r="D499" s="15">
        <v>0</v>
      </c>
      <c r="E499" s="15">
        <v>0</v>
      </c>
      <c r="F499" s="19">
        <f>F500/D500</f>
        <v>-8.4201742949289587E-3</v>
      </c>
    </row>
    <row r="500" spans="1:6">
      <c r="A500" s="1"/>
      <c r="B500" s="3"/>
      <c r="C500" s="4" t="s">
        <v>296</v>
      </c>
      <c r="D500" s="16">
        <f>D476+D478+D479+D484+D486+D487+D491+D492+D494+D495</f>
        <v>1457300</v>
      </c>
      <c r="E500" s="16">
        <f>SUM(E476:E499)</f>
        <v>1445029.28</v>
      </c>
      <c r="F500" s="18">
        <f>E500-D500</f>
        <v>-12270.719999999972</v>
      </c>
    </row>
    <row r="501" spans="1:6">
      <c r="A501" s="1"/>
      <c r="B501" s="5"/>
      <c r="C501" s="5"/>
    </row>
    <row r="502" spans="1:6">
      <c r="A502" s="1">
        <v>1000</v>
      </c>
      <c r="B502" s="3">
        <v>1200</v>
      </c>
      <c r="C502" s="5" t="s">
        <v>297</v>
      </c>
      <c r="D502" s="15">
        <v>343218</v>
      </c>
      <c r="E502" s="15">
        <v>383616</v>
      </c>
    </row>
    <row r="503" spans="1:6">
      <c r="A503" s="1">
        <v>1000</v>
      </c>
      <c r="B503" s="3">
        <v>1200</v>
      </c>
      <c r="C503" s="5" t="s">
        <v>298</v>
      </c>
      <c r="D503" s="15">
        <f>D298</f>
        <v>803668</v>
      </c>
      <c r="E503" s="15">
        <f>E298</f>
        <v>861063.33</v>
      </c>
    </row>
    <row r="504" spans="1:6">
      <c r="A504" s="1">
        <v>1000</v>
      </c>
      <c r="B504" s="3">
        <v>1200</v>
      </c>
      <c r="C504" s="5" t="s">
        <v>299</v>
      </c>
      <c r="D504" s="15">
        <f>D258</f>
        <v>928736</v>
      </c>
      <c r="E504" s="15">
        <f>E258</f>
        <v>982763</v>
      </c>
    </row>
    <row r="505" spans="1:6">
      <c r="A505" s="1">
        <v>1000</v>
      </c>
      <c r="B505" s="3">
        <v>1200</v>
      </c>
      <c r="C505" s="5" t="s">
        <v>300</v>
      </c>
      <c r="D505" s="15">
        <f>D396+D411+D416</f>
        <v>354974.29000000004</v>
      </c>
      <c r="E505" s="15">
        <f>E396+E411+E416</f>
        <v>357991.88</v>
      </c>
    </row>
    <row r="506" spans="1:6">
      <c r="A506" s="1">
        <v>1000</v>
      </c>
      <c r="B506" s="3">
        <v>1200</v>
      </c>
      <c r="C506" s="5" t="s">
        <v>301</v>
      </c>
      <c r="D506" s="15">
        <f>D397+D412</f>
        <v>296800</v>
      </c>
      <c r="E506" s="15">
        <f>E397+E412</f>
        <v>179765.83000000002</v>
      </c>
    </row>
    <row r="507" spans="1:6">
      <c r="A507" s="1">
        <v>1000</v>
      </c>
      <c r="B507" s="3">
        <v>1200</v>
      </c>
      <c r="C507" s="5" t="s">
        <v>302</v>
      </c>
      <c r="D507" s="15">
        <v>0</v>
      </c>
      <c r="E507" s="15">
        <v>0</v>
      </c>
    </row>
    <row r="508" spans="1:6">
      <c r="A508" s="1">
        <v>1000</v>
      </c>
      <c r="B508" s="3">
        <v>1200</v>
      </c>
      <c r="C508" s="5" t="s">
        <v>303</v>
      </c>
      <c r="D508" s="15">
        <v>0</v>
      </c>
      <c r="E508" s="15">
        <v>0</v>
      </c>
      <c r="F508" s="19">
        <f>F509/D509</f>
        <v>1.3860747020375246E-2</v>
      </c>
    </row>
    <row r="509" spans="1:6">
      <c r="A509" s="1"/>
      <c r="B509" s="3"/>
      <c r="C509" s="4" t="s">
        <v>304</v>
      </c>
      <c r="D509" s="16">
        <f>D502+D503+D504+D505+D506</f>
        <v>2727396.29</v>
      </c>
      <c r="E509" s="16">
        <f>SUM(E502:E508)</f>
        <v>2765200.04</v>
      </c>
      <c r="F509" s="18">
        <f>E509-D509</f>
        <v>37803.75</v>
      </c>
    </row>
    <row r="510" spans="1:6">
      <c r="A510" s="1"/>
      <c r="B510" s="5"/>
      <c r="C510" s="5"/>
    </row>
    <row r="511" spans="1:6">
      <c r="A511" s="1">
        <v>1000</v>
      </c>
      <c r="B511" s="3">
        <v>1300</v>
      </c>
      <c r="C511" s="5" t="s">
        <v>305</v>
      </c>
    </row>
    <row r="512" spans="1:6">
      <c r="A512" s="1">
        <v>1000</v>
      </c>
      <c r="B512" s="3">
        <v>1300</v>
      </c>
      <c r="C512" s="5" t="s">
        <v>306</v>
      </c>
      <c r="D512" s="15">
        <v>6722134</v>
      </c>
      <c r="E512" s="15">
        <v>6848889</v>
      </c>
    </row>
    <row r="513" spans="1:6">
      <c r="A513" s="1">
        <v>1000</v>
      </c>
      <c r="B513" s="3">
        <v>1300</v>
      </c>
      <c r="C513" s="5" t="s">
        <v>307</v>
      </c>
    </row>
    <row r="514" spans="1:6">
      <c r="A514" s="1">
        <v>1000</v>
      </c>
      <c r="B514" s="3">
        <v>1300</v>
      </c>
      <c r="C514" s="5" t="s">
        <v>308</v>
      </c>
    </row>
    <row r="515" spans="1:6">
      <c r="A515" s="1">
        <v>1000</v>
      </c>
      <c r="B515" s="3">
        <v>1300</v>
      </c>
      <c r="C515" s="5" t="s">
        <v>309</v>
      </c>
      <c r="E515" s="15">
        <v>197000</v>
      </c>
    </row>
    <row r="516" spans="1:6">
      <c r="A516" s="1">
        <v>1000</v>
      </c>
      <c r="B516" s="3">
        <v>1300</v>
      </c>
      <c r="C516" s="10" t="s">
        <v>310</v>
      </c>
    </row>
    <row r="517" spans="1:6">
      <c r="A517" s="1">
        <v>1000</v>
      </c>
      <c r="B517" s="3">
        <v>1300</v>
      </c>
      <c r="C517" s="5" t="s">
        <v>311</v>
      </c>
    </row>
    <row r="518" spans="1:6">
      <c r="A518" s="1">
        <v>1000</v>
      </c>
      <c r="B518" s="3">
        <v>1300</v>
      </c>
      <c r="C518" s="5" t="s">
        <v>312</v>
      </c>
      <c r="D518" s="15">
        <v>772233</v>
      </c>
      <c r="E518" s="15">
        <v>772236</v>
      </c>
      <c r="F518" s="19">
        <f>F519/D519</f>
        <v>4.3200179548185988E-2</v>
      </c>
    </row>
    <row r="519" spans="1:6">
      <c r="A519" s="1"/>
      <c r="B519" s="3"/>
      <c r="C519" s="4" t="s">
        <v>313</v>
      </c>
      <c r="D519" s="16">
        <f>D518+D512</f>
        <v>7494367</v>
      </c>
      <c r="E519" s="16">
        <f>SUM(E511:E518)</f>
        <v>7818125</v>
      </c>
      <c r="F519" s="18">
        <f>E519-D519</f>
        <v>323758</v>
      </c>
    </row>
    <row r="520" spans="1:6">
      <c r="A520" s="1"/>
      <c r="B520" s="5"/>
      <c r="C520" s="5"/>
      <c r="F520" s="19">
        <f>F521/D521</f>
        <v>2.9907452449467908E-2</v>
      </c>
    </row>
    <row r="521" spans="1:6">
      <c r="A521" s="1"/>
      <c r="B521" s="7"/>
      <c r="C521" s="14" t="s">
        <v>314</v>
      </c>
      <c r="D521" s="17">
        <f>D519+D509+D500</f>
        <v>11679063.289999999</v>
      </c>
      <c r="E521" s="17">
        <f>E500+E509+E519</f>
        <v>12028354.32</v>
      </c>
      <c r="F521" s="18">
        <f>E521-D521</f>
        <v>349291.03000000119</v>
      </c>
    </row>
    <row r="522" spans="1:6">
      <c r="A522" s="9"/>
      <c r="B522" s="5"/>
      <c r="C522" s="12"/>
      <c r="F522" s="19">
        <f>F523/D523</f>
        <v>3.1417885451851348E-2</v>
      </c>
    </row>
    <row r="523" spans="1:6">
      <c r="A523" s="9"/>
      <c r="B523" s="5"/>
      <c r="C523" s="12" t="s">
        <v>315</v>
      </c>
      <c r="D523" s="15">
        <f>D439+D421+D384+D338+D304+D206+D201+D113+D474</f>
        <v>26495504.901999995</v>
      </c>
      <c r="E523" s="15">
        <f>E113+E201+E206+E304+E338+E384+E421+E439+E474</f>
        <v>27327937.639999997</v>
      </c>
      <c r="F523" s="18">
        <f>E523-D523</f>
        <v>832432.73800000176</v>
      </c>
    </row>
    <row r="524" spans="1:6">
      <c r="A524" s="9"/>
      <c r="B524" s="5"/>
      <c r="C524" s="5"/>
    </row>
    <row r="525" spans="1:6">
      <c r="A525" s="9"/>
      <c r="B525" s="5"/>
      <c r="C525" s="5" t="s">
        <v>316</v>
      </c>
      <c r="D525" s="15">
        <f>D298+D258</f>
        <v>1732404</v>
      </c>
      <c r="E525" s="15">
        <f>E258+E298</f>
        <v>1843826.33</v>
      </c>
    </row>
    <row r="526" spans="1:6">
      <c r="A526" s="9"/>
      <c r="B526" s="5"/>
      <c r="C526" s="5" t="s">
        <v>317</v>
      </c>
      <c r="D526" s="15">
        <f>D411+D412+D396+D397</f>
        <v>651774.29</v>
      </c>
      <c r="E526" s="15">
        <f>E396+E397+E411+E412</f>
        <v>537757.71</v>
      </c>
    </row>
    <row r="527" spans="1:6">
      <c r="A527" s="9"/>
      <c r="B527" s="5"/>
      <c r="C527" s="12" t="s">
        <v>318</v>
      </c>
      <c r="D527" s="15">
        <f>D525+D526</f>
        <v>2384178.29</v>
      </c>
      <c r="E527" s="15">
        <f>E525+E526</f>
        <v>2381584.04</v>
      </c>
    </row>
    <row r="528" spans="1:6">
      <c r="A528" s="9"/>
      <c r="B528" s="5"/>
      <c r="C528" s="5"/>
      <c r="F528" s="19">
        <f>F529/D529</f>
        <v>3.4632146187444375E-2</v>
      </c>
    </row>
    <row r="529" spans="1:6">
      <c r="A529" s="9"/>
      <c r="B529" s="5"/>
      <c r="C529" s="12" t="s">
        <v>319</v>
      </c>
      <c r="D529" s="15">
        <f>D523-D527</f>
        <v>24111326.611999996</v>
      </c>
      <c r="E529" s="15">
        <f>E523-E527</f>
        <v>24946353.599999998</v>
      </c>
      <c r="F529" s="18">
        <f>E529-D529</f>
        <v>835026.98800000176</v>
      </c>
    </row>
    <row r="530" spans="1:6">
      <c r="A530" s="9"/>
      <c r="B530" s="5"/>
      <c r="C530" s="5"/>
    </row>
    <row r="531" spans="1:6">
      <c r="A531" s="9"/>
      <c r="B531" s="5"/>
      <c r="C531" s="5" t="s">
        <v>320</v>
      </c>
      <c r="D531" s="15">
        <f>D500</f>
        <v>1457300</v>
      </c>
      <c r="E531" s="15">
        <f>E500</f>
        <v>1445029.28</v>
      </c>
    </row>
    <row r="532" spans="1:6">
      <c r="A532" s="9"/>
      <c r="B532" s="5"/>
      <c r="C532" s="5" t="s">
        <v>321</v>
      </c>
      <c r="D532" s="15">
        <f>D509</f>
        <v>2727396.29</v>
      </c>
      <c r="E532" s="15">
        <f>E509+12039</f>
        <v>2777239.04</v>
      </c>
    </row>
    <row r="533" spans="1:6">
      <c r="A533" s="9"/>
      <c r="B533" s="5"/>
      <c r="C533" s="10" t="s">
        <v>322</v>
      </c>
      <c r="D533" s="15">
        <f>D519</f>
        <v>7494367</v>
      </c>
      <c r="E533" s="15">
        <f>E519</f>
        <v>7818125</v>
      </c>
    </row>
    <row r="534" spans="1:6">
      <c r="A534" s="9"/>
      <c r="B534" s="5"/>
      <c r="C534" s="12" t="s">
        <v>323</v>
      </c>
      <c r="D534" s="15">
        <f>D521</f>
        <v>11679063.289999999</v>
      </c>
      <c r="E534" s="15">
        <f>E531+E532+E533</f>
        <v>12040393.32</v>
      </c>
    </row>
    <row r="535" spans="1:6">
      <c r="A535" s="9"/>
      <c r="B535" s="5"/>
      <c r="C535" s="10"/>
    </row>
    <row r="536" spans="1:6">
      <c r="A536" s="9"/>
      <c r="B536" s="5"/>
      <c r="C536" s="12" t="s">
        <v>324</v>
      </c>
      <c r="E536" s="15">
        <f>E523-E534</f>
        <v>15287544.319999997</v>
      </c>
    </row>
    <row r="537" spans="1:6">
      <c r="A537" s="9"/>
      <c r="B537" s="5"/>
      <c r="C537" s="5"/>
    </row>
    <row r="538" spans="1:6">
      <c r="A538" s="9"/>
      <c r="B538" s="5"/>
      <c r="C538" s="5" t="s">
        <v>325</v>
      </c>
      <c r="E538" s="15">
        <v>14339924</v>
      </c>
    </row>
    <row r="539" spans="1:6">
      <c r="A539" s="9"/>
      <c r="B539" s="5"/>
      <c r="C539" s="5" t="s">
        <v>326</v>
      </c>
      <c r="E539" s="15">
        <f>E538*1.025-E538</f>
        <v>358498.09999999963</v>
      </c>
      <c r="F539" s="21">
        <v>1.0249999999999999</v>
      </c>
    </row>
    <row r="540" spans="1:6">
      <c r="A540" s="9"/>
      <c r="B540" s="5"/>
      <c r="C540" s="5" t="s">
        <v>327</v>
      </c>
      <c r="E540" s="15">
        <v>159800</v>
      </c>
      <c r="F540" s="18" t="s">
        <v>327</v>
      </c>
    </row>
    <row r="541" spans="1:6">
      <c r="A541" s="9"/>
      <c r="B541" s="5"/>
      <c r="C541" s="12" t="s">
        <v>328</v>
      </c>
      <c r="E541" s="15">
        <f>E538+E539+E540</f>
        <v>14858222.1</v>
      </c>
    </row>
    <row r="542" spans="1:6">
      <c r="A542" s="9"/>
      <c r="B542" s="5"/>
      <c r="C542" s="5"/>
    </row>
    <row r="543" spans="1:6">
      <c r="A543" s="9"/>
      <c r="B543" s="5"/>
      <c r="C543" s="12" t="s">
        <v>329</v>
      </c>
      <c r="E543" s="15">
        <f>E541-E536</f>
        <v>-429322.21999999695</v>
      </c>
    </row>
    <row r="544" spans="1:6">
      <c r="A544" s="9"/>
      <c r="B544" s="5"/>
      <c r="C544" s="5"/>
    </row>
    <row r="545" spans="1:5">
      <c r="A545" s="9"/>
      <c r="B545" s="5"/>
      <c r="C545" s="12" t="s">
        <v>330</v>
      </c>
      <c r="D545" s="15">
        <v>14339924</v>
      </c>
    </row>
    <row r="546" spans="1:5">
      <c r="A546" s="9"/>
      <c r="B546" s="5"/>
      <c r="C546" s="5"/>
    </row>
    <row r="547" spans="1:5">
      <c r="A547" s="9"/>
      <c r="B547" s="5"/>
      <c r="C547" s="12" t="s">
        <v>331</v>
      </c>
      <c r="E547" s="15" t="s">
        <v>443</v>
      </c>
    </row>
    <row r="548" spans="1:5">
      <c r="A548" s="9"/>
      <c r="B548" s="5"/>
      <c r="C548" s="12"/>
      <c r="E548" s="15" t="s">
        <v>442</v>
      </c>
    </row>
    <row r="549" spans="1:5">
      <c r="A549" s="9"/>
      <c r="B549" s="5"/>
      <c r="C549" s="12" t="s">
        <v>332</v>
      </c>
    </row>
    <row r="550" spans="1:5">
      <c r="A550" s="9"/>
      <c r="B550" s="5"/>
      <c r="C550" s="5"/>
    </row>
    <row r="551" spans="1:5">
      <c r="A551" s="9"/>
      <c r="B551" s="5"/>
      <c r="C551" s="12" t="s">
        <v>333</v>
      </c>
    </row>
  </sheetData>
  <hyperlinks>
    <hyperlink ref="C2" tooltip="Click to toggle..." display="114 - TOWN MODERATOR" xr:uid="{8F85A4CE-07EE-4055-905F-B4BBA6B5D2D0}"/>
    <hyperlink ref="C8" tooltip="Click to toggle..." display="122 - SELECTMEN" xr:uid="{CEE59EE5-B5DA-4C3A-8E29-7ADCD94DB430}"/>
    <hyperlink ref="C19" tooltip="Click to toggle..." display="123 - COORDINATOR" xr:uid="{6AA66D1E-38D6-434A-923F-A522EAAD596B}"/>
    <hyperlink ref="C24" tooltip="Click to toggle..." display="131 - FINANCE COMMITTEE" xr:uid="{69B7426E-02BC-415C-A027-4235AED14B2E}"/>
    <hyperlink ref="C27" tooltip="Click to toggle..." display="132 - RESERVE FUND" xr:uid="{FF30A994-5C3D-4996-9EA7-D58DFD81C42B}"/>
    <hyperlink ref="C34" tooltip="Click to toggle..." display="135 - ACCOUNTANT" xr:uid="{B7466E0F-AD18-4661-A4A3-2A9E891D8FF3}"/>
    <hyperlink ref="C44" tooltip="Click to toggle..." display="141 - ASSESSORS" xr:uid="{C84AD90E-3EEC-4E21-8C32-E0CF73E86E95}"/>
    <hyperlink ref="C53" tooltip="Click to toggle..." display="145 - TREASURER/COLLECTOR" xr:uid="{4C164D85-E59C-4E22-9963-758EE06C3A10}"/>
    <hyperlink ref="C57" tooltip="Click to toggle..." display="151 - TOWN COUNSEL" xr:uid="{4A1F9CDB-5ED1-4069-A0D8-F20D00C4CA21}"/>
    <hyperlink ref="C60" tooltip="Click to toggle..." display="155 - CABLE TV COMMITTEE " xr:uid="{6967ADCF-7E50-468C-893D-BB045296CCFB}"/>
    <hyperlink ref="C63" tooltip="Click to toggle..." display="158 - TAX TITLE" xr:uid="{40B22A69-70E4-411A-85C5-AC1AFEB34FA9}"/>
    <hyperlink ref="C69" tooltip="Click to toggle..." display="161 - TOWN CLERK" xr:uid="{A67C3765-CEDC-4931-A0CD-690A2B28FCFE}"/>
    <hyperlink ref="C74" tooltip="Click to toggle..." display="162 - ELECTIONS" xr:uid="{E90F6E35-15B8-41A6-8111-DC6142175D25}"/>
    <hyperlink ref="C79" tooltip="Click to toggle..." display="163 - REGISTRATION" xr:uid="{9F7AC247-4959-4CB8-8CE9-88E63D7727C4}"/>
    <hyperlink ref="C83" tooltip="Click to toggle..." display="166 - PARKING CLERK" xr:uid="{7E15A776-C52E-405E-87E5-F98A4D1BB913}"/>
    <hyperlink ref="C86" tooltip="Click to toggle..." display="171 - CONSERVATION COMMITTEE" xr:uid="{4D6999FA-C7D0-41D4-9D4C-DC37AB42CB0E}"/>
    <hyperlink ref="C92" tooltip="Click to toggle..." display="175 - PLANNING BOARD" xr:uid="{A2B471C4-9D20-4986-A538-367C21EE651B}"/>
    <hyperlink ref="C97" tooltip="Click to toggle..." display="176 - ZONING BOARD" xr:uid="{B47D8E65-6BEC-4203-94F0-C55034720AF6}"/>
    <hyperlink ref="C102" tooltip="Click to toggle..." display="191 - COMPUTER" xr:uid="{0B5B7339-8A63-4003-B782-CEEB66031B66}"/>
    <hyperlink ref="C111" tooltip="Click to toggle..." display="192 - PUBLIC BLD - TOWN HALL" xr:uid="{9F442FC3-99DA-4580-9C73-E335B6A5A48E}"/>
    <hyperlink ref="C113" tooltip="Click to toggle..." display="100 - GENERAL GOVERNMENT" xr:uid="{13D2D479-45C5-4A15-BF89-124170D609AD}"/>
    <hyperlink ref="C123" tooltip="Click to toggle..." display="210 - POLICE" xr:uid="{17C7D39E-8758-4414-9C26-EBDA883F7F1B}"/>
    <hyperlink ref="C129" tooltip="Click to toggle..." display="215 - DISPATCH" xr:uid="{56F31844-0C58-4EAE-B7D2-3C26B29082CA}"/>
    <hyperlink ref="C144" tooltip="Click to toggle..." display="220 - FIRE" xr:uid="{CFA7218A-CABC-4964-A798-75EB75854E31}"/>
    <hyperlink ref="C147" tooltip="Click to toggle..." display="225 - TOWN POLICE DETAIL" xr:uid="{F2028369-1BB7-43FB-978C-5ECA0C48728D}"/>
    <hyperlink ref="C161" tooltip="Click to toggle..." display="231 - AMBULANCE" xr:uid="{7FA0EBDB-1BAD-4EC5-8B2A-E416A85764E3}"/>
    <hyperlink ref="C167" tooltip="Click to toggle..." display="241 - BUILDING INSPECTOR" xr:uid="{E522325E-7933-45CD-8870-EBD329DB8C67}"/>
    <hyperlink ref="C171" tooltip="Click to toggle..." display="243 - PLUMBING INSPECTOR" xr:uid="{E3ED5908-F030-47A1-BBD5-AC9AE1182D4B}"/>
    <hyperlink ref="C175" tooltip="Click to toggle..." display="245 - ELECTRICAL INSPECTOR" xr:uid="{475E1551-01D6-47ED-83B8-B7ABCB662E04}"/>
    <hyperlink ref="C178" tooltip="Click to toggle..." display="247 - WEIGHTS &amp; MEASURES" xr:uid="{114B5E7F-95BB-4518-8C46-033463DFA728}"/>
    <hyperlink ref="C183" tooltip="Click to toggle..." display="291 - CIVIL DEFENSE (EMS)" xr:uid="{8E34411B-1B4A-4F6A-9D36-FD67D9666F69}"/>
    <hyperlink ref="C188" tooltip="Click to toggle..." display="292 - DOG OFFICER" xr:uid="{6A32ABAB-F2E1-44FF-879D-F938B6ACC9C0}"/>
    <hyperlink ref="C195" tooltip="Click to toggle..." display="294 - FORESTRY-TREE PLANTING" xr:uid="{0367501E-2DBA-4ADA-B937-1C4E5B592D19}"/>
    <hyperlink ref="C199" tooltip="Click to toggle..." display="295 - FORESTRY-DUTCH ELM " xr:uid="{45B52227-709F-4175-82AB-7A497BB1F6A2}"/>
    <hyperlink ref="C201" tooltip="Click to toggle..." display="200 - PUBLIC SAFETY" xr:uid="{0F5FEB7E-7412-454A-BB59-E008AC68DC52}"/>
    <hyperlink ref="C204" tooltip="Click to toggle..." display="300 - SCHOOL DEPARTMENT" xr:uid="{3FBD9B77-7C4A-4DBB-85C3-8855DA9ADFD4}"/>
    <hyperlink ref="C206" tooltip="Click to toggle..." display="300 - EDUCATION" xr:uid="{AB66FE96-95B9-4D95-827E-2B295D277FDF}"/>
    <hyperlink ref="C221" tooltip="Click to toggle..." display="422 - HIGHWAY" xr:uid="{2B64CF28-1153-438B-8F30-906CC0389786}"/>
    <hyperlink ref="C228" tooltip="Click to toggle..." display="423 - SNOW REMOVAL" xr:uid="{49E7BC08-A7A4-4C8F-AD96-5BA234CE165F}"/>
    <hyperlink ref="C231" tooltip="Click to toggle..." display="424 - STREET LIGHTING" xr:uid="{711359F6-6DED-4856-BCA2-0605A3E19E24}"/>
    <hyperlink ref="C258" tooltip="Click to toggle..." display="440 - SEWER" xr:uid="{C6B5B71A-C1EF-44E9-AAAD-EAD3BD0AAD47}"/>
    <hyperlink ref="C298" tooltip="Click to toggle..." display="450 - WATER" xr:uid="{CD7E24EC-126D-4E27-AA40-C0E3EB95EA46}"/>
    <hyperlink ref="C302" tooltip="Click to toggle..." display="491 - CEMETERY" xr:uid="{3FA7A1F9-DF95-410B-B2A7-04E2E0013164}"/>
    <hyperlink ref="C304" tooltip="Click to toggle..." display="400 - PUBLIC WORKS &amp; FACILITIES" xr:uid="{363043FF-C4C3-4734-A5F1-E00ECC05CD42}"/>
    <hyperlink ref="C317" tooltip="Click to toggle..." display="511 - HEALTH OFFICER" xr:uid="{0C07CDA0-F2D4-445A-A7A9-553F380F5511}"/>
    <hyperlink ref="C329" tooltip="Click to toggle..." display="541 - COUNCIL ON AGING" xr:uid="{FA9B4523-4F66-4055-8A85-F21C374091B2}"/>
    <hyperlink ref="C333" tooltip="Click to toggle..." display="543 - VETERANS" xr:uid="{8B18F7B3-08A2-4B2B-96A7-9C2296F3938B}"/>
    <hyperlink ref="C336" tooltip="Click to toggle..." display="549 - COMMISSION ON DISABILITIES" xr:uid="{36BD9A56-B343-446C-8ADB-777B41C9AA6F}"/>
    <hyperlink ref="C338" tooltip="Click to toggle..." display="500 - HUMAN SERVICES" xr:uid="{848EFF37-09BF-43E5-B471-0F670407337E}"/>
    <hyperlink ref="C352" tooltip="Click to toggle..." display="610 - LIBRARY" xr:uid="{C7F718E6-2081-4C1C-A0AA-AEB5B90468E8}"/>
    <hyperlink ref="C365" tooltip="Click to toggle..." display="650 - PARKS" xr:uid="{000E7DDA-3A27-4454-A84F-EE46B2F7DD1D}"/>
    <hyperlink ref="C370" tooltip="Click to toggle..." display="691 - HISTORICAL COMMITTEE" xr:uid="{E0C4FB4E-67B1-40BF-A986-350494C38917}"/>
    <hyperlink ref="C373" tooltip="Click to toggle..." display="692 - MEMORIAL DAY" xr:uid="{626B150A-4D7D-43B4-8453-FE4FC0BA2B8A}"/>
    <hyperlink ref="C379" tooltip="Click to toggle..." display="693 - RED SHOP TOTAL" xr:uid="{E7F1C158-864F-457D-83BD-CD20682699FA}"/>
    <hyperlink ref="C382" tooltip="Click to toggle..." display="699 - CULTURAL COUNCIL" xr:uid="{6B8EB5D9-9DBB-4080-8D3C-A71559E96AE1}"/>
    <hyperlink ref="C384" tooltip="Click to toggle..." display="600 - CULTURE &amp; RECREATION" xr:uid="{6721365C-CE2B-422C-9D21-5B2EA1651A36}"/>
    <hyperlink ref="C399" tooltip="Click to toggle..." display="710 - SEWER BOND TOTAL" xr:uid="{385B97DC-8FA1-4C12-8C19-D63AD899DAE1}"/>
    <hyperlink ref="C414" tooltip="Click to toggle..." display="751 - WATER &amp; SEWER BOND INTEREST" xr:uid="{7B31B5CE-CEE2-45A3-9029-71B2786B081E}"/>
    <hyperlink ref="C419" tooltip="Click to toggle..." display="752 - INTEREST ON SHORT TERM DEBT" xr:uid="{373D40B2-3BA0-49DF-B06B-60E5EBF970E6}"/>
    <hyperlink ref="C421" tooltip="Click to toggle..." display="700 - DEBT SERVICE" xr:uid="{F5585069-0243-4F36-8F9A-2F7BC55FA9AF}"/>
    <hyperlink ref="C425" tooltip="Click to toggle..." display="830 - COUNTY ASSESSMENTS" xr:uid="{418FEBDF-AD03-4C97-BB0C-5CF11D239F26}"/>
    <hyperlink ref="C428" tooltip="Click to toggle..." display="845 - BLACKSTONE VLY REG. SCHOOL DIST." xr:uid="{0B42C39E-F6DC-4D03-AD1E-BF5312F8CA88}"/>
    <hyperlink ref="C431" tooltip="Click to toggle..." display="847 - CENTRAL MASS.REG.PLANNING DIST." xr:uid="{3BEFA884-DF5A-4F0B-85F7-6637AAF14536}"/>
    <hyperlink ref="C434" tooltip="Click to toggle..." display="850 - STABILIZATION FUND DEPOSIT" xr:uid="{F0A82F1C-2C62-43BB-AA8B-CED64F884974}"/>
    <hyperlink ref="C437" tooltip="Click to toggle..." display="852 - TOWN HALL RAMP " xr:uid="{21B83D61-A922-4308-84E8-1972690F2885}"/>
    <hyperlink ref="C439" tooltip="Click to toggle..." display="800 - INTERGOVERNMENTAL" xr:uid="{FF6DA5E3-F646-44D5-AC20-4ABA2E4A4DD3}"/>
    <hyperlink ref="C442" tooltip="Click to toggle..." display="911 - RETIREMENT" xr:uid="{552659EE-E085-4C70-9C3E-94245F05D107}"/>
    <hyperlink ref="C446" tooltip="Click to toggle..." display="912 - WORKERS COMPENSATION PREMIUMS" xr:uid="{E02D36C2-8DC0-400E-8D46-1DA34658B23F}"/>
    <hyperlink ref="C449" tooltip="Click to toggle..." display="913 - UNEMPLOYMENT COMPENSATION" xr:uid="{1C756823-8AB3-4A53-8169-D520C1E15A7C}"/>
    <hyperlink ref="C452" tooltip="Click to toggle..." display="914 - MEDICARE  " xr:uid="{4117A04F-75B9-4EEC-B365-0EB484B3D95B}"/>
    <hyperlink ref="C455" tooltip="Click to toggle..." display="915 - HEALTH AND LIFE INSURANCE PREMIUMS" xr:uid="{D8527162-3D3A-4771-9AF2-5440102180FB}"/>
    <hyperlink ref="C468" tooltip="Click to toggle..." display="940 - OTHER UNCLASSIFIED" xr:uid="{F28B88A7-FA40-43F6-A7E3-2A5B9D3D8A35}"/>
    <hyperlink ref="C472" tooltip="Click to toggle..." display="945 - LIABILITY INSURANCE" xr:uid="{40633265-7C97-438B-A942-85EC56CC1904}"/>
    <hyperlink ref="C474" tooltip="Click to toggle..." display="900 - UNCLASSIFIED" xr:uid="{C285B66C-4154-4589-A7E2-ECAAF3BC18BC}"/>
    <hyperlink ref="C500" tooltip="Click to toggle..." display="1100 - LOCAL RECEIPTS" xr:uid="{93D7FE76-B1D7-48AD-AD50-A7763308D99B}"/>
    <hyperlink ref="C509" tooltip="Click to toggle..." display="1200 - OFFSET RECEIPTS" xr:uid="{693AC661-758E-460B-A72E-42E711D67FCC}"/>
    <hyperlink ref="C519" tooltip="Click to toggle..." display="1300 - OTHER REVENUE SOURCES" xr:uid="{18922BE7-9233-4061-AD2A-9609C7CBA80E}"/>
    <hyperlink ref="C521" tooltip="Click to toggle..." display="1000 - RECEIPTS" xr:uid="{12634C9C-66DE-4015-BB9E-5E0820F55CC2}"/>
  </hyperlinks>
  <pageMargins left="0.25" right="0.25" top="0.75" bottom="0.75" header="0.3" footer="0.3"/>
  <pageSetup scale="93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Sheet</vt:lpstr>
      <vt:lpstr>Budget Report FY2020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Hockenbury</dc:creator>
  <cp:lastModifiedBy>Samuel Hockenbury</cp:lastModifiedBy>
  <cp:lastPrinted>2019-05-19T21:29:14Z</cp:lastPrinted>
  <dcterms:created xsi:type="dcterms:W3CDTF">2019-03-23T18:18:06Z</dcterms:created>
  <dcterms:modified xsi:type="dcterms:W3CDTF">2019-05-19T21:29:33Z</dcterms:modified>
</cp:coreProperties>
</file>